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firstSheet="2" activeTab="2"/>
  </bookViews>
  <sheets>
    <sheet name="Лист1" sheetId="1" state="hidden" r:id="rId1"/>
    <sheet name="Лист2" sheetId="2" state="hidden" r:id="rId2"/>
    <sheet name="Выбор коробок" sheetId="3" r:id="rId3"/>
  </sheets>
  <definedNames/>
  <calcPr fullCalcOnLoad="1"/>
</workbook>
</file>

<file path=xl/sharedStrings.xml><?xml version="1.0" encoding="utf-8"?>
<sst xmlns="http://schemas.openxmlformats.org/spreadsheetml/2006/main" count="103" uniqueCount="59">
  <si>
    <t>Труба</t>
  </si>
  <si>
    <t>Провод</t>
  </si>
  <si>
    <t>ПВ1 1х1,5</t>
  </si>
  <si>
    <t>ПВ1 1х2,5</t>
  </si>
  <si>
    <t>ПВ1 1х4</t>
  </si>
  <si>
    <t>ПВ1 1х6</t>
  </si>
  <si>
    <t>ПВ3 1х6</t>
  </si>
  <si>
    <t>ПВ3 1х10</t>
  </si>
  <si>
    <t>ПВ3 1х16</t>
  </si>
  <si>
    <t>ПВ3 1х25</t>
  </si>
  <si>
    <t>ПВ3 1х35</t>
  </si>
  <si>
    <t>ПВ3 1х50</t>
  </si>
  <si>
    <t>ВВГнг 3х1,5</t>
  </si>
  <si>
    <t>ВВГнг 3х2,5</t>
  </si>
  <si>
    <t>ВВГнг 3х4</t>
  </si>
  <si>
    <t>ВВГнг 5х6</t>
  </si>
  <si>
    <t>ВВГнг 5х10</t>
  </si>
  <si>
    <t>ВВГнг 1х16</t>
  </si>
  <si>
    <t>ВВГнг 1х25</t>
  </si>
  <si>
    <t>ВВГнг 1х35</t>
  </si>
  <si>
    <t>ВВГнг 1х50</t>
  </si>
  <si>
    <t>ВВГнг 1х70</t>
  </si>
  <si>
    <t>Труба 15х2,8</t>
  </si>
  <si>
    <t>Труба 20х2,8</t>
  </si>
  <si>
    <t>Труба 25х3,2</t>
  </si>
  <si>
    <t>Труба 32х3,2</t>
  </si>
  <si>
    <t>Труба 40х4,0</t>
  </si>
  <si>
    <t>Труба 50х4,5</t>
  </si>
  <si>
    <t>Труба 65х4,5</t>
  </si>
  <si>
    <t>Коробка протяжная</t>
  </si>
  <si>
    <t>Коробка распаячная</t>
  </si>
  <si>
    <t>нет</t>
  </si>
  <si>
    <t>Диаметр трубы</t>
  </si>
  <si>
    <t>Сечение трубы</t>
  </si>
  <si>
    <t>Сумарное сечение труб</t>
  </si>
  <si>
    <t>КП1</t>
  </si>
  <si>
    <t>У994</t>
  </si>
  <si>
    <t>У995</t>
  </si>
  <si>
    <t>У996</t>
  </si>
  <si>
    <t>У997</t>
  </si>
  <si>
    <t>У998</t>
  </si>
  <si>
    <t>У999</t>
  </si>
  <si>
    <t>У1000</t>
  </si>
  <si>
    <t>Сравнение значений</t>
  </si>
  <si>
    <t>Количество</t>
  </si>
  <si>
    <t>У731</t>
  </si>
  <si>
    <t>У733</t>
  </si>
  <si>
    <t>У739</t>
  </si>
  <si>
    <t>длина</t>
  </si>
  <si>
    <t>Площадь</t>
  </si>
  <si>
    <t>Объем</t>
  </si>
  <si>
    <t>Объем орешек</t>
  </si>
  <si>
    <t>У734</t>
  </si>
  <si>
    <t>У859</t>
  </si>
  <si>
    <t>У870</t>
  </si>
  <si>
    <t>У871</t>
  </si>
  <si>
    <t>У872</t>
  </si>
  <si>
    <t>К655</t>
  </si>
  <si>
    <t>К656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</si>
</sst>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;;;"/>
    <numFmt numFmtId="181" formatCode="0.0"/>
  </numFmts>
  <fonts count="3">
    <font>
      <sz val="10"/>
      <name val="Arial"/>
      <family val="0"/>
    </font>
    <font>
      <sz val="8"/>
      <name val="Tahoma"/>
      <family val="2"/>
    </font>
    <font>
      <b/>
      <i/>
      <sz val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0" borderId="8" xfId="0" applyBorder="1" applyAlignment="1">
      <alignment/>
    </xf>
    <xf numFmtId="0" fontId="0" fillId="4" borderId="9" xfId="0" applyFill="1" applyBorder="1" applyAlignment="1">
      <alignment/>
    </xf>
    <xf numFmtId="0" fontId="2" fillId="5" borderId="10" xfId="0" applyFont="1" applyFill="1" applyBorder="1" applyAlignment="1">
      <alignment vertical="center"/>
    </xf>
    <xf numFmtId="0" fontId="0" fillId="4" borderId="11" xfId="0" applyFill="1" applyBorder="1" applyAlignment="1">
      <alignment/>
    </xf>
    <xf numFmtId="0" fontId="2" fillId="5" borderId="12" xfId="0" applyFont="1" applyFill="1" applyBorder="1" applyAlignment="1">
      <alignment vertical="center"/>
    </xf>
    <xf numFmtId="0" fontId="2" fillId="5" borderId="13" xfId="0" applyFont="1" applyFill="1" applyBorder="1" applyAlignment="1">
      <alignment vertical="center"/>
    </xf>
    <xf numFmtId="0" fontId="0" fillId="0" borderId="14" xfId="0" applyBorder="1" applyAlignment="1">
      <alignment/>
    </xf>
    <xf numFmtId="0" fontId="0" fillId="6" borderId="15" xfId="0" applyFill="1" applyBorder="1" applyAlignment="1">
      <alignment/>
    </xf>
    <xf numFmtId="0" fontId="0" fillId="6" borderId="16" xfId="0" applyFill="1" applyBorder="1" applyAlignment="1">
      <alignment/>
    </xf>
    <xf numFmtId="0" fontId="0" fillId="0" borderId="17" xfId="0" applyBorder="1" applyAlignment="1">
      <alignment/>
    </xf>
    <xf numFmtId="0" fontId="0" fillId="6" borderId="18" xfId="0" applyFill="1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180" fontId="0" fillId="0" borderId="19" xfId="0" applyNumberFormat="1" applyBorder="1" applyAlignment="1">
      <alignment horizontal="center" vertical="center"/>
    </xf>
    <xf numFmtId="180" fontId="0" fillId="0" borderId="20" xfId="0" applyNumberFormat="1" applyBorder="1" applyAlignment="1">
      <alignment horizontal="center" vertical="center"/>
    </xf>
    <xf numFmtId="180" fontId="0" fillId="0" borderId="21" xfId="0" applyNumberFormat="1" applyBorder="1" applyAlignment="1">
      <alignment horizontal="center" vertical="center"/>
    </xf>
    <xf numFmtId="0" fontId="0" fillId="6" borderId="22" xfId="0" applyFill="1" applyBorder="1" applyAlignment="1">
      <alignment horizontal="center" vertical="center"/>
    </xf>
    <xf numFmtId="0" fontId="0" fillId="6" borderId="23" xfId="0" applyFill="1" applyBorder="1" applyAlignment="1">
      <alignment horizontal="center" vertical="center"/>
    </xf>
    <xf numFmtId="0" fontId="0" fillId="6" borderId="24" xfId="0" applyFill="1" applyBorder="1" applyAlignment="1">
      <alignment horizontal="center" vertical="center"/>
    </xf>
    <xf numFmtId="0" fontId="0" fillId="5" borderId="25" xfId="0" applyFill="1" applyBorder="1" applyAlignment="1">
      <alignment horizontal="center" vertical="center"/>
    </xf>
    <xf numFmtId="0" fontId="0" fillId="5" borderId="10" xfId="0" applyFill="1" applyBorder="1" applyAlignment="1">
      <alignment horizontal="center" vertical="center"/>
    </xf>
    <xf numFmtId="0" fontId="0" fillId="5" borderId="26" xfId="0" applyFill="1" applyBorder="1" applyAlignment="1">
      <alignment horizontal="center" vertical="center"/>
    </xf>
    <xf numFmtId="0" fontId="0" fillId="6" borderId="27" xfId="0" applyFill="1" applyBorder="1" applyAlignment="1">
      <alignment horizontal="center" vertical="center"/>
    </xf>
    <xf numFmtId="0" fontId="0" fillId="6" borderId="28" xfId="0" applyFill="1" applyBorder="1" applyAlignment="1">
      <alignment horizontal="center" vertical="center"/>
    </xf>
    <xf numFmtId="0" fontId="0" fillId="6" borderId="29" xfId="0" applyFill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53"/>
  <sheetViews>
    <sheetView workbookViewId="0" topLeftCell="A1">
      <selection activeCell="E39" sqref="E39"/>
    </sheetView>
  </sheetViews>
  <sheetFormatPr defaultColWidth="9.140625" defaultRowHeight="12.75"/>
  <cols>
    <col min="2" max="2" width="13.57421875" style="0" customWidth="1"/>
    <col min="3" max="3" width="14.28125" style="0" customWidth="1"/>
    <col min="4" max="4" width="11.00390625" style="0" customWidth="1"/>
    <col min="5" max="5" width="11.8515625" style="0" customWidth="1"/>
    <col min="9" max="9" width="13.140625" style="0" customWidth="1"/>
    <col min="10" max="10" width="12.00390625" style="0" customWidth="1"/>
    <col min="12" max="13" width="11.421875" style="0" customWidth="1"/>
  </cols>
  <sheetData>
    <row r="1" spans="2:10" ht="12.75">
      <c r="B1" t="s">
        <v>32</v>
      </c>
      <c r="C1" t="s">
        <v>33</v>
      </c>
      <c r="D1" s="23" t="s">
        <v>34</v>
      </c>
      <c r="E1" s="23"/>
      <c r="F1">
        <v>0</v>
      </c>
      <c r="G1" t="s">
        <v>35</v>
      </c>
      <c r="H1">
        <v>1</v>
      </c>
      <c r="I1" t="s">
        <v>35</v>
      </c>
      <c r="J1" t="s">
        <v>43</v>
      </c>
    </row>
    <row r="2" spans="1:13" ht="12.75">
      <c r="A2">
        <v>1</v>
      </c>
      <c r="E2" s="22">
        <f>SUM(D3:D9)</f>
        <v>2000.0000000000002</v>
      </c>
      <c r="F2" s="10">
        <f>M2*1</f>
        <v>2870</v>
      </c>
      <c r="G2" t="s">
        <v>36</v>
      </c>
      <c r="H2">
        <v>2</v>
      </c>
      <c r="I2" t="s">
        <v>36</v>
      </c>
      <c r="M2" s="10">
        <v>2870</v>
      </c>
    </row>
    <row r="3" spans="1:13" ht="12.75">
      <c r="A3">
        <v>2</v>
      </c>
      <c r="B3">
        <v>15</v>
      </c>
      <c r="C3">
        <f>(SQRT(B3*B3/2)*SQRT(B3*B3/2))*10</f>
        <v>1125.0000000000002</v>
      </c>
      <c r="D3">
        <f>VLOOKUP('Выбор коробок'!$A$3,Лист1!A2:C9,3,FALSE)</f>
        <v>2000.0000000000002</v>
      </c>
      <c r="E3" s="22"/>
      <c r="F3" s="10">
        <f aca="true" t="shared" si="0" ref="F3:F9">M3*1</f>
        <v>7000</v>
      </c>
      <c r="G3" t="s">
        <v>37</v>
      </c>
      <c r="H3">
        <v>3</v>
      </c>
      <c r="I3" t="s">
        <v>37</v>
      </c>
      <c r="J3">
        <f>VLOOKUP(E2,F1:H9,3,TRUE)</f>
        <v>1</v>
      </c>
      <c r="K3">
        <f>VLOOKUP(0,L12:O20,4,FALSE)</f>
        <v>2</v>
      </c>
      <c r="M3" s="10">
        <v>7000</v>
      </c>
    </row>
    <row r="4" spans="1:13" ht="12.75">
      <c r="A4">
        <v>3</v>
      </c>
      <c r="B4">
        <v>20</v>
      </c>
      <c r="C4">
        <f aca="true" t="shared" si="1" ref="C4:C9">(SQRT(B4*B4/2)*SQRT(B4*B4/2))*10</f>
        <v>2000.0000000000002</v>
      </c>
      <c r="D4">
        <f>VLOOKUP('Выбор коробок'!$A$6,Лист1!A2:C9,3,FALSE)</f>
        <v>0</v>
      </c>
      <c r="E4" s="22"/>
      <c r="F4" s="10">
        <f t="shared" si="0"/>
        <v>11200</v>
      </c>
      <c r="G4" t="s">
        <v>38</v>
      </c>
      <c r="H4">
        <v>4</v>
      </c>
      <c r="I4" t="s">
        <v>38</v>
      </c>
      <c r="M4" s="10">
        <v>11200</v>
      </c>
    </row>
    <row r="5" spans="1:13" ht="12.75">
      <c r="A5">
        <v>4</v>
      </c>
      <c r="B5">
        <v>25</v>
      </c>
      <c r="C5">
        <f t="shared" si="1"/>
        <v>3125</v>
      </c>
      <c r="D5">
        <f>VLOOKUP('Выбор коробок'!$A$9,Лист1!A2:C9,3,FALSE)</f>
        <v>0</v>
      </c>
      <c r="E5" s="22"/>
      <c r="F5" s="10">
        <f t="shared" si="0"/>
        <v>17100</v>
      </c>
      <c r="G5" t="s">
        <v>39</v>
      </c>
      <c r="H5">
        <v>5</v>
      </c>
      <c r="I5" t="s">
        <v>39</v>
      </c>
      <c r="J5" s="9">
        <f>IF(J3-K3&lt;0,(K3),(J3))</f>
        <v>2</v>
      </c>
      <c r="M5" s="10">
        <v>17100</v>
      </c>
    </row>
    <row r="6" spans="1:13" ht="12.75">
      <c r="A6">
        <v>5</v>
      </c>
      <c r="B6">
        <v>32</v>
      </c>
      <c r="C6">
        <f t="shared" si="1"/>
        <v>5120.000000000001</v>
      </c>
      <c r="D6">
        <f>VLOOKUP('Выбор коробок'!$A$12,Лист1!A2:C9,3,FALSE)</f>
        <v>0</v>
      </c>
      <c r="E6" s="22"/>
      <c r="F6" s="10">
        <f t="shared" si="0"/>
        <v>55100</v>
      </c>
      <c r="G6" t="s">
        <v>40</v>
      </c>
      <c r="H6">
        <v>6</v>
      </c>
      <c r="I6" t="s">
        <v>40</v>
      </c>
      <c r="M6" s="10">
        <v>55100</v>
      </c>
    </row>
    <row r="7" spans="1:13" ht="12.75">
      <c r="A7">
        <v>6</v>
      </c>
      <c r="B7">
        <v>40</v>
      </c>
      <c r="C7">
        <f t="shared" si="1"/>
        <v>8000.000000000001</v>
      </c>
      <c r="D7">
        <f>VLOOKUP('Выбор коробок'!$A$15,Лист1!A2:C9,3,FALSE)</f>
        <v>0</v>
      </c>
      <c r="E7" s="22"/>
      <c r="F7" s="10">
        <f t="shared" si="0"/>
        <v>74100</v>
      </c>
      <c r="G7" t="s">
        <v>57</v>
      </c>
      <c r="H7">
        <v>7</v>
      </c>
      <c r="I7" t="s">
        <v>41</v>
      </c>
      <c r="M7" s="10">
        <v>74100</v>
      </c>
    </row>
    <row r="8" spans="1:13" ht="12.75">
      <c r="A8">
        <v>7</v>
      </c>
      <c r="B8">
        <v>50</v>
      </c>
      <c r="C8">
        <f t="shared" si="1"/>
        <v>12500</v>
      </c>
      <c r="D8">
        <f>VLOOKUP('Выбор коробок'!$A$18,Лист1!A2:C9,3,FALSE)</f>
        <v>0</v>
      </c>
      <c r="E8" s="22"/>
      <c r="F8" s="10">
        <f t="shared" si="0"/>
        <v>74100</v>
      </c>
      <c r="G8" t="s">
        <v>58</v>
      </c>
      <c r="H8">
        <v>8</v>
      </c>
      <c r="I8" t="s">
        <v>42</v>
      </c>
      <c r="M8" s="10">
        <v>74100</v>
      </c>
    </row>
    <row r="9" spans="1:13" ht="12.75">
      <c r="A9">
        <v>8</v>
      </c>
      <c r="B9">
        <v>65</v>
      </c>
      <c r="C9">
        <f t="shared" si="1"/>
        <v>21125</v>
      </c>
      <c r="D9">
        <f>VLOOKUP('Выбор коробок'!$A$21,Лист1!A2:C9,3,FALSE)</f>
        <v>0</v>
      </c>
      <c r="E9" s="22"/>
      <c r="F9" s="10">
        <f t="shared" si="0"/>
        <v>112100</v>
      </c>
      <c r="M9" s="10">
        <v>112100</v>
      </c>
    </row>
    <row r="11" ht="13.5" thickBot="1"/>
    <row r="12" spans="1:36" ht="12.75">
      <c r="A12">
        <v>1</v>
      </c>
      <c r="B12" s="6" t="s">
        <v>31</v>
      </c>
      <c r="G12" t="s">
        <v>49</v>
      </c>
      <c r="H12" t="s">
        <v>50</v>
      </c>
      <c r="K12">
        <f>VLOOKUP(J13,M12:O20,1,TRUE)</f>
        <v>257039.99999999997</v>
      </c>
      <c r="L12">
        <f>M13+L13</f>
        <v>257039.99999999997</v>
      </c>
      <c r="M12">
        <v>0</v>
      </c>
      <c r="N12" t="s">
        <v>35</v>
      </c>
      <c r="O12">
        <v>1</v>
      </c>
      <c r="P12" t="s">
        <v>48</v>
      </c>
      <c r="Q12">
        <v>2</v>
      </c>
      <c r="R12">
        <v>3</v>
      </c>
      <c r="S12">
        <v>4</v>
      </c>
      <c r="T12">
        <v>5</v>
      </c>
      <c r="U12">
        <v>6</v>
      </c>
      <c r="V12">
        <v>7</v>
      </c>
      <c r="W12">
        <v>8</v>
      </c>
      <c r="X12">
        <v>9</v>
      </c>
      <c r="Y12">
        <v>10</v>
      </c>
      <c r="Z12">
        <v>11</v>
      </c>
      <c r="AA12">
        <v>12</v>
      </c>
      <c r="AB12">
        <v>13</v>
      </c>
      <c r="AC12">
        <v>14</v>
      </c>
      <c r="AD12">
        <v>15</v>
      </c>
      <c r="AE12">
        <v>16</v>
      </c>
      <c r="AF12">
        <v>17</v>
      </c>
      <c r="AG12">
        <v>18</v>
      </c>
      <c r="AH12">
        <v>19</v>
      </c>
      <c r="AI12">
        <v>20</v>
      </c>
      <c r="AJ12">
        <v>21</v>
      </c>
    </row>
    <row r="13" spans="1:36" ht="12.75">
      <c r="A13">
        <v>2</v>
      </c>
      <c r="B13" s="7" t="s">
        <v>2</v>
      </c>
      <c r="C13">
        <f>C34*2</f>
        <v>10.89</v>
      </c>
      <c r="D13">
        <f>SUMIF('Выбор коробок'!B3:B23,2,Q13:Q37)</f>
        <v>0</v>
      </c>
      <c r="E13">
        <f>SUMIF('Выбор коробок'!B3:B23,2,'Выбор коробок'!$C$3:$C$23)</f>
        <v>0</v>
      </c>
      <c r="F13" s="1">
        <f>D13*E13</f>
        <v>0</v>
      </c>
      <c r="G13" s="22">
        <f>SUM(F12:F32)</f>
        <v>45.63</v>
      </c>
      <c r="H13" s="22"/>
      <c r="I13">
        <f aca="true" t="shared" si="2" ref="I13:I20">$G$13*P13</f>
        <v>6160.05</v>
      </c>
      <c r="J13">
        <f>I13+$H$34</f>
        <v>667390.05</v>
      </c>
      <c r="K13">
        <f>VLOOKUP(J14,M12:O20,1,TRUE)</f>
        <v>257039.99999999997</v>
      </c>
      <c r="L13">
        <f aca="true" t="shared" si="3" ref="L13:L20">K12-M13</f>
        <v>0</v>
      </c>
      <c r="M13" s="10">
        <f>M22*0.7</f>
        <v>257039.99999999997</v>
      </c>
      <c r="N13" t="s">
        <v>36</v>
      </c>
      <c r="O13">
        <v>2</v>
      </c>
      <c r="P13" s="10">
        <f>P22*1.5</f>
        <v>135</v>
      </c>
      <c r="Q13">
        <f>$C$13</f>
        <v>10.89</v>
      </c>
      <c r="R13">
        <f>$C$14</f>
        <v>15.21</v>
      </c>
      <c r="S13">
        <f>$C$15</f>
        <v>19.36</v>
      </c>
      <c r="T13">
        <f>$C$16</f>
        <v>24.01</v>
      </c>
      <c r="U13">
        <f>$C$17</f>
        <v>39.69</v>
      </c>
      <c r="V13">
        <f>$C$18</f>
        <v>288.8</v>
      </c>
      <c r="W13">
        <f>$C$19</f>
        <v>77.44</v>
      </c>
      <c r="X13">
        <f>$C$20</f>
        <v>110.25</v>
      </c>
      <c r="Y13">
        <f>$C$21</f>
        <v>121</v>
      </c>
      <c r="Z13">
        <f>$C$22</f>
        <v>174.24</v>
      </c>
      <c r="AA13">
        <f>$C$23</f>
        <v>84.64</v>
      </c>
      <c r="AB13">
        <f>$C$24</f>
        <v>104.04</v>
      </c>
      <c r="AC13">
        <f>$C$25</f>
        <v>125.44</v>
      </c>
      <c r="AD13">
        <f>$C$26</f>
        <v>201.64</v>
      </c>
      <c r="AE13">
        <f>$C$27</f>
        <v>306.25</v>
      </c>
      <c r="AF13">
        <f>$C$28</f>
        <v>98.01</v>
      </c>
      <c r="AG13">
        <f>$C$29</f>
        <v>132.25</v>
      </c>
      <c r="AH13">
        <f>$C$30</f>
        <v>158.76</v>
      </c>
      <c r="AI13">
        <f>$C$31</f>
        <v>207.36</v>
      </c>
      <c r="AJ13">
        <f>$C$32</f>
        <v>268.96</v>
      </c>
    </row>
    <row r="14" spans="1:36" ht="12.75">
      <c r="A14">
        <v>3</v>
      </c>
      <c r="B14" s="7" t="s">
        <v>3</v>
      </c>
      <c r="C14">
        <f aca="true" t="shared" si="4" ref="C14:C32">C35*2</f>
        <v>15.21</v>
      </c>
      <c r="D14">
        <f>SUMIF('Выбор коробок'!B3:B23,3,R13:R37)</f>
        <v>15.21</v>
      </c>
      <c r="E14">
        <f>SUMIF('Выбор коробок'!B3:B23,3,'Выбор коробок'!$C$3:$C$23)</f>
        <v>3</v>
      </c>
      <c r="F14" s="1">
        <f aca="true" t="shared" si="5" ref="F14:F32">D14*E14</f>
        <v>45.63</v>
      </c>
      <c r="G14" s="22"/>
      <c r="H14" s="22"/>
      <c r="I14">
        <f t="shared" si="2"/>
        <v>7528.950000000001</v>
      </c>
      <c r="J14">
        <f aca="true" t="shared" si="6" ref="J14:J20">I14+$H$34</f>
        <v>668758.95</v>
      </c>
      <c r="K14">
        <f>VLOOKUP(J15,M12:P22,1,TRUE)</f>
        <v>257039.99999999997</v>
      </c>
      <c r="L14">
        <f t="shared" si="3"/>
        <v>-420560</v>
      </c>
      <c r="M14" s="10">
        <f aca="true" t="shared" si="7" ref="M14:M20">M23*0.7</f>
        <v>677600</v>
      </c>
      <c r="N14" t="s">
        <v>37</v>
      </c>
      <c r="O14">
        <v>3</v>
      </c>
      <c r="P14" s="10">
        <f aca="true" t="shared" si="8" ref="P14:P20">P23*1.5</f>
        <v>165</v>
      </c>
      <c r="Q14">
        <f aca="true" t="shared" si="9" ref="Q14:Q37">$C$13</f>
        <v>10.89</v>
      </c>
      <c r="R14">
        <f aca="true" t="shared" si="10" ref="R14:R37">$C$14</f>
        <v>15.21</v>
      </c>
      <c r="S14">
        <f aca="true" t="shared" si="11" ref="S14:S37">$C$15</f>
        <v>19.36</v>
      </c>
      <c r="T14">
        <f aca="true" t="shared" si="12" ref="T14:T37">$C$16</f>
        <v>24.01</v>
      </c>
      <c r="U14">
        <f aca="true" t="shared" si="13" ref="U14:U37">$C$17</f>
        <v>39.69</v>
      </c>
      <c r="V14">
        <f aca="true" t="shared" si="14" ref="V14:V37">$C$18</f>
        <v>288.8</v>
      </c>
      <c r="W14">
        <f aca="true" t="shared" si="15" ref="W14:W37">$C$19</f>
        <v>77.44</v>
      </c>
      <c r="X14">
        <f aca="true" t="shared" si="16" ref="X14:X37">$C$20</f>
        <v>110.25</v>
      </c>
      <c r="Y14">
        <f aca="true" t="shared" si="17" ref="Y14:Y37">$C$21</f>
        <v>121</v>
      </c>
      <c r="Z14">
        <f aca="true" t="shared" si="18" ref="Z14:Z37">$C$22</f>
        <v>174.24</v>
      </c>
      <c r="AA14">
        <f aca="true" t="shared" si="19" ref="AA14:AA37">$C$23</f>
        <v>84.64</v>
      </c>
      <c r="AB14">
        <f aca="true" t="shared" si="20" ref="AB14:AB37">$C$24</f>
        <v>104.04</v>
      </c>
      <c r="AC14">
        <f aca="true" t="shared" si="21" ref="AC14:AC37">$C$25</f>
        <v>125.44</v>
      </c>
      <c r="AD14">
        <f aca="true" t="shared" si="22" ref="AD14:AD37">$C$26</f>
        <v>201.64</v>
      </c>
      <c r="AE14">
        <f aca="true" t="shared" si="23" ref="AE14:AE37">$C$27</f>
        <v>306.25</v>
      </c>
      <c r="AF14">
        <f aca="true" t="shared" si="24" ref="AF14:AF37">$C$28</f>
        <v>98.01</v>
      </c>
      <c r="AG14">
        <f aca="true" t="shared" si="25" ref="AG14:AG37">$C$29</f>
        <v>132.25</v>
      </c>
      <c r="AH14">
        <f aca="true" t="shared" si="26" ref="AH14:AH37">$C$30</f>
        <v>158.76</v>
      </c>
      <c r="AI14">
        <f aca="true" t="shared" si="27" ref="AI14:AI37">$C$31</f>
        <v>207.36</v>
      </c>
      <c r="AJ14">
        <f aca="true" t="shared" si="28" ref="AJ14:AJ37">$C$32</f>
        <v>268.96</v>
      </c>
    </row>
    <row r="15" spans="1:36" ht="12.75">
      <c r="A15">
        <v>4</v>
      </c>
      <c r="B15" s="7" t="s">
        <v>4</v>
      </c>
      <c r="C15">
        <f t="shared" si="4"/>
        <v>19.36</v>
      </c>
      <c r="D15">
        <f>SUMIF('Выбор коробок'!B3:B23,4,S13:S37)</f>
        <v>0</v>
      </c>
      <c r="E15">
        <f>SUMIF('Выбор коробок'!B3:B23,4,'Выбор коробок'!$C$3:$C$23)</f>
        <v>0</v>
      </c>
      <c r="F15" s="1">
        <f t="shared" si="5"/>
        <v>0</v>
      </c>
      <c r="G15" s="22"/>
      <c r="H15" s="22"/>
      <c r="I15">
        <f t="shared" si="2"/>
        <v>10266.75</v>
      </c>
      <c r="J15">
        <f t="shared" si="6"/>
        <v>671496.75</v>
      </c>
      <c r="K15">
        <f>VLOOKUP(J16,M12:P22,1,TRUE)</f>
        <v>257039.99999999997</v>
      </c>
      <c r="L15">
        <f t="shared" si="3"/>
        <v>-1160460</v>
      </c>
      <c r="M15" s="10">
        <f t="shared" si="7"/>
        <v>1417500</v>
      </c>
      <c r="N15" t="s">
        <v>38</v>
      </c>
      <c r="O15">
        <v>4</v>
      </c>
      <c r="P15" s="10">
        <f t="shared" si="8"/>
        <v>225</v>
      </c>
      <c r="Q15">
        <f t="shared" si="9"/>
        <v>10.89</v>
      </c>
      <c r="R15">
        <f t="shared" si="10"/>
        <v>15.21</v>
      </c>
      <c r="S15">
        <f t="shared" si="11"/>
        <v>19.36</v>
      </c>
      <c r="T15">
        <f t="shared" si="12"/>
        <v>24.01</v>
      </c>
      <c r="U15">
        <f t="shared" si="13"/>
        <v>39.69</v>
      </c>
      <c r="V15">
        <f t="shared" si="14"/>
        <v>288.8</v>
      </c>
      <c r="W15">
        <f t="shared" si="15"/>
        <v>77.44</v>
      </c>
      <c r="X15">
        <f t="shared" si="16"/>
        <v>110.25</v>
      </c>
      <c r="Y15">
        <f t="shared" si="17"/>
        <v>121</v>
      </c>
      <c r="Z15">
        <f t="shared" si="18"/>
        <v>174.24</v>
      </c>
      <c r="AA15">
        <f t="shared" si="19"/>
        <v>84.64</v>
      </c>
      <c r="AB15">
        <f t="shared" si="20"/>
        <v>104.04</v>
      </c>
      <c r="AC15">
        <f t="shared" si="21"/>
        <v>125.44</v>
      </c>
      <c r="AD15">
        <f t="shared" si="22"/>
        <v>201.64</v>
      </c>
      <c r="AE15">
        <f t="shared" si="23"/>
        <v>306.25</v>
      </c>
      <c r="AF15">
        <f t="shared" si="24"/>
        <v>98.01</v>
      </c>
      <c r="AG15">
        <f t="shared" si="25"/>
        <v>132.25</v>
      </c>
      <c r="AH15">
        <f t="shared" si="26"/>
        <v>158.76</v>
      </c>
      <c r="AI15">
        <f t="shared" si="27"/>
        <v>207.36</v>
      </c>
      <c r="AJ15">
        <f t="shared" si="28"/>
        <v>268.96</v>
      </c>
    </row>
    <row r="16" spans="1:36" ht="12.75">
      <c r="A16">
        <v>5</v>
      </c>
      <c r="B16" s="7" t="s">
        <v>5</v>
      </c>
      <c r="C16">
        <f t="shared" si="4"/>
        <v>24.01</v>
      </c>
      <c r="D16">
        <f>SUMIF('Выбор коробок'!B3:B23,5,T13:T37)</f>
        <v>0</v>
      </c>
      <c r="E16">
        <f>SUMIF('Выбор коробок'!B3:B23,5,'Выбор коробок'!$C$3:$C$23)</f>
        <v>0</v>
      </c>
      <c r="F16" s="1">
        <f t="shared" si="5"/>
        <v>0</v>
      </c>
      <c r="G16" s="22"/>
      <c r="H16" s="22"/>
      <c r="I16">
        <f t="shared" si="2"/>
        <v>13689</v>
      </c>
      <c r="J16">
        <f t="shared" si="6"/>
        <v>674919</v>
      </c>
      <c r="K16">
        <f>VLOOKUP(J17,M12:P22,1,TRUE)</f>
        <v>677600</v>
      </c>
      <c r="L16">
        <f t="shared" si="3"/>
        <v>-2542960</v>
      </c>
      <c r="M16" s="10">
        <f t="shared" si="7"/>
        <v>2800000</v>
      </c>
      <c r="N16" t="s">
        <v>39</v>
      </c>
      <c r="O16">
        <v>5</v>
      </c>
      <c r="P16" s="10">
        <f t="shared" si="8"/>
        <v>300</v>
      </c>
      <c r="Q16">
        <f t="shared" si="9"/>
        <v>10.89</v>
      </c>
      <c r="R16">
        <f t="shared" si="10"/>
        <v>15.21</v>
      </c>
      <c r="S16">
        <f t="shared" si="11"/>
        <v>19.36</v>
      </c>
      <c r="T16">
        <f t="shared" si="12"/>
        <v>24.01</v>
      </c>
      <c r="U16">
        <f t="shared" si="13"/>
        <v>39.69</v>
      </c>
      <c r="V16">
        <f t="shared" si="14"/>
        <v>288.8</v>
      </c>
      <c r="W16">
        <f t="shared" si="15"/>
        <v>77.44</v>
      </c>
      <c r="X16">
        <f t="shared" si="16"/>
        <v>110.25</v>
      </c>
      <c r="Y16">
        <f t="shared" si="17"/>
        <v>121</v>
      </c>
      <c r="Z16">
        <f t="shared" si="18"/>
        <v>174.24</v>
      </c>
      <c r="AA16">
        <f t="shared" si="19"/>
        <v>84.64</v>
      </c>
      <c r="AB16">
        <f t="shared" si="20"/>
        <v>104.04</v>
      </c>
      <c r="AC16">
        <f t="shared" si="21"/>
        <v>125.44</v>
      </c>
      <c r="AD16">
        <f t="shared" si="22"/>
        <v>201.64</v>
      </c>
      <c r="AE16">
        <f t="shared" si="23"/>
        <v>306.25</v>
      </c>
      <c r="AF16">
        <f t="shared" si="24"/>
        <v>98.01</v>
      </c>
      <c r="AG16">
        <f t="shared" si="25"/>
        <v>132.25</v>
      </c>
      <c r="AH16">
        <f t="shared" si="26"/>
        <v>158.76</v>
      </c>
      <c r="AI16">
        <f t="shared" si="27"/>
        <v>207.36</v>
      </c>
      <c r="AJ16">
        <f t="shared" si="28"/>
        <v>268.96</v>
      </c>
    </row>
    <row r="17" spans="1:36" ht="12.75">
      <c r="A17">
        <v>6</v>
      </c>
      <c r="B17" s="7" t="s">
        <v>6</v>
      </c>
      <c r="C17">
        <f t="shared" si="4"/>
        <v>39.69</v>
      </c>
      <c r="D17">
        <f>SUMIF('Выбор коробок'!B3:B23,6,U13:U37)</f>
        <v>0</v>
      </c>
      <c r="E17">
        <f>SUMIF('Выбор коробок'!B3:B23,6,'Выбор коробок'!$C$3:$C$23)</f>
        <v>0</v>
      </c>
      <c r="F17" s="1">
        <f t="shared" si="5"/>
        <v>0</v>
      </c>
      <c r="G17" s="22"/>
      <c r="H17" s="22"/>
      <c r="I17">
        <f t="shared" si="2"/>
        <v>20533.5</v>
      </c>
      <c r="J17">
        <f t="shared" si="6"/>
        <v>681763.5</v>
      </c>
      <c r="K17">
        <f>VLOOKUP(J18,M12:P22,1,TRUE)</f>
        <v>677600</v>
      </c>
      <c r="L17">
        <f t="shared" si="3"/>
        <v>-11922400</v>
      </c>
      <c r="M17" s="10">
        <f t="shared" si="7"/>
        <v>12600000</v>
      </c>
      <c r="N17" t="s">
        <v>40</v>
      </c>
      <c r="O17">
        <v>6</v>
      </c>
      <c r="P17" s="10">
        <f t="shared" si="8"/>
        <v>450</v>
      </c>
      <c r="Q17">
        <f t="shared" si="9"/>
        <v>10.89</v>
      </c>
      <c r="R17">
        <f t="shared" si="10"/>
        <v>15.21</v>
      </c>
      <c r="S17">
        <f t="shared" si="11"/>
        <v>19.36</v>
      </c>
      <c r="T17">
        <f t="shared" si="12"/>
        <v>24.01</v>
      </c>
      <c r="U17">
        <f t="shared" si="13"/>
        <v>39.69</v>
      </c>
      <c r="V17">
        <f t="shared" si="14"/>
        <v>288.8</v>
      </c>
      <c r="W17">
        <f t="shared" si="15"/>
        <v>77.44</v>
      </c>
      <c r="X17">
        <f t="shared" si="16"/>
        <v>110.25</v>
      </c>
      <c r="Y17">
        <f t="shared" si="17"/>
        <v>121</v>
      </c>
      <c r="Z17">
        <f t="shared" si="18"/>
        <v>174.24</v>
      </c>
      <c r="AA17">
        <f t="shared" si="19"/>
        <v>84.64</v>
      </c>
      <c r="AB17">
        <f t="shared" si="20"/>
        <v>104.04</v>
      </c>
      <c r="AC17">
        <f t="shared" si="21"/>
        <v>125.44</v>
      </c>
      <c r="AD17">
        <f t="shared" si="22"/>
        <v>201.64</v>
      </c>
      <c r="AE17">
        <f t="shared" si="23"/>
        <v>306.25</v>
      </c>
      <c r="AF17">
        <f t="shared" si="24"/>
        <v>98.01</v>
      </c>
      <c r="AG17">
        <f t="shared" si="25"/>
        <v>132.25</v>
      </c>
      <c r="AH17">
        <f t="shared" si="26"/>
        <v>158.76</v>
      </c>
      <c r="AI17">
        <f t="shared" si="27"/>
        <v>207.36</v>
      </c>
      <c r="AJ17">
        <f t="shared" si="28"/>
        <v>268.96</v>
      </c>
    </row>
    <row r="18" spans="1:36" ht="12.75">
      <c r="A18">
        <v>7</v>
      </c>
      <c r="B18" s="7" t="s">
        <v>7</v>
      </c>
      <c r="C18">
        <f>C39*10</f>
        <v>288.8</v>
      </c>
      <c r="D18">
        <f>SUMIF('Выбор коробок'!B3:B23,7,V13:V37)</f>
        <v>0</v>
      </c>
      <c r="E18">
        <f>SUMIF('Выбор коробок'!B3:B23,7,'Выбор коробок'!$C$3:$C$23)</f>
        <v>0</v>
      </c>
      <c r="F18" s="1">
        <f t="shared" si="5"/>
        <v>0</v>
      </c>
      <c r="G18" s="22"/>
      <c r="H18" s="22"/>
      <c r="I18">
        <f t="shared" si="2"/>
        <v>27378</v>
      </c>
      <c r="J18">
        <f t="shared" si="6"/>
        <v>688608</v>
      </c>
      <c r="K18">
        <f>VLOOKUP(J19,M12:P22,1,TRUE)</f>
        <v>677600</v>
      </c>
      <c r="L18">
        <f t="shared" si="3"/>
        <v>-21722400</v>
      </c>
      <c r="M18" s="10">
        <f t="shared" si="7"/>
        <v>22400000</v>
      </c>
      <c r="N18" t="s">
        <v>57</v>
      </c>
      <c r="O18">
        <v>7</v>
      </c>
      <c r="P18" s="10">
        <f t="shared" si="8"/>
        <v>600</v>
      </c>
      <c r="Q18">
        <f t="shared" si="9"/>
        <v>10.89</v>
      </c>
      <c r="R18">
        <f t="shared" si="10"/>
        <v>15.21</v>
      </c>
      <c r="S18">
        <f t="shared" si="11"/>
        <v>19.36</v>
      </c>
      <c r="T18">
        <f t="shared" si="12"/>
        <v>24.01</v>
      </c>
      <c r="U18">
        <f t="shared" si="13"/>
        <v>39.69</v>
      </c>
      <c r="V18">
        <f t="shared" si="14"/>
        <v>288.8</v>
      </c>
      <c r="W18">
        <f t="shared" si="15"/>
        <v>77.44</v>
      </c>
      <c r="X18">
        <f t="shared" si="16"/>
        <v>110.25</v>
      </c>
      <c r="Y18">
        <f t="shared" si="17"/>
        <v>121</v>
      </c>
      <c r="Z18">
        <f t="shared" si="18"/>
        <v>174.24</v>
      </c>
      <c r="AA18">
        <f t="shared" si="19"/>
        <v>84.64</v>
      </c>
      <c r="AB18">
        <f t="shared" si="20"/>
        <v>104.04</v>
      </c>
      <c r="AC18">
        <f t="shared" si="21"/>
        <v>125.44</v>
      </c>
      <c r="AD18">
        <f t="shared" si="22"/>
        <v>201.64</v>
      </c>
      <c r="AE18">
        <f t="shared" si="23"/>
        <v>306.25</v>
      </c>
      <c r="AF18">
        <f t="shared" si="24"/>
        <v>98.01</v>
      </c>
      <c r="AG18">
        <f t="shared" si="25"/>
        <v>132.25</v>
      </c>
      <c r="AH18">
        <f t="shared" si="26"/>
        <v>158.76</v>
      </c>
      <c r="AI18">
        <f t="shared" si="27"/>
        <v>207.36</v>
      </c>
      <c r="AJ18">
        <f t="shared" si="28"/>
        <v>268.96</v>
      </c>
    </row>
    <row r="19" spans="1:36" ht="12.75">
      <c r="A19">
        <v>8</v>
      </c>
      <c r="B19" s="7" t="s">
        <v>8</v>
      </c>
      <c r="C19">
        <f>C40*2</f>
        <v>77.44</v>
      </c>
      <c r="D19">
        <f>SUMIF('Выбор коробок'!B3:B23,8,W13:W37)</f>
        <v>0</v>
      </c>
      <c r="E19">
        <f>SUMIF('Выбор коробок'!B3:B23,8,'Выбор коробок'!$C$3:$C$23)</f>
        <v>0</v>
      </c>
      <c r="F19" s="1">
        <f t="shared" si="5"/>
        <v>0</v>
      </c>
      <c r="G19" s="22"/>
      <c r="H19" s="22"/>
      <c r="I19">
        <f t="shared" si="2"/>
        <v>41067</v>
      </c>
      <c r="J19">
        <f t="shared" si="6"/>
        <v>702297</v>
      </c>
      <c r="K19">
        <f>VLOOKUP(J20,M12:P22,1,TRUE)</f>
        <v>677600</v>
      </c>
      <c r="L19">
        <f t="shared" si="3"/>
        <v>-32922400</v>
      </c>
      <c r="M19" s="10">
        <f t="shared" si="7"/>
        <v>33600000</v>
      </c>
      <c r="N19" t="s">
        <v>58</v>
      </c>
      <c r="O19">
        <v>8</v>
      </c>
      <c r="P19" s="10">
        <f t="shared" si="8"/>
        <v>900</v>
      </c>
      <c r="Q19">
        <f t="shared" si="9"/>
        <v>10.89</v>
      </c>
      <c r="R19">
        <f t="shared" si="10"/>
        <v>15.21</v>
      </c>
      <c r="S19">
        <f t="shared" si="11"/>
        <v>19.36</v>
      </c>
      <c r="T19">
        <f t="shared" si="12"/>
        <v>24.01</v>
      </c>
      <c r="U19">
        <f t="shared" si="13"/>
        <v>39.69</v>
      </c>
      <c r="V19">
        <f t="shared" si="14"/>
        <v>288.8</v>
      </c>
      <c r="W19">
        <f t="shared" si="15"/>
        <v>77.44</v>
      </c>
      <c r="X19">
        <f t="shared" si="16"/>
        <v>110.25</v>
      </c>
      <c r="Y19">
        <f t="shared" si="17"/>
        <v>121</v>
      </c>
      <c r="Z19">
        <f t="shared" si="18"/>
        <v>174.24</v>
      </c>
      <c r="AA19">
        <f t="shared" si="19"/>
        <v>84.64</v>
      </c>
      <c r="AB19">
        <f t="shared" si="20"/>
        <v>104.04</v>
      </c>
      <c r="AC19">
        <f t="shared" si="21"/>
        <v>125.44</v>
      </c>
      <c r="AD19">
        <f t="shared" si="22"/>
        <v>201.64</v>
      </c>
      <c r="AE19">
        <f t="shared" si="23"/>
        <v>306.25</v>
      </c>
      <c r="AF19">
        <f t="shared" si="24"/>
        <v>98.01</v>
      </c>
      <c r="AG19">
        <f t="shared" si="25"/>
        <v>132.25</v>
      </c>
      <c r="AH19">
        <f t="shared" si="26"/>
        <v>158.76</v>
      </c>
      <c r="AI19">
        <f t="shared" si="27"/>
        <v>207.36</v>
      </c>
      <c r="AJ19">
        <f t="shared" si="28"/>
        <v>268.96</v>
      </c>
    </row>
    <row r="20" spans="1:36" ht="12.75">
      <c r="A20">
        <v>9</v>
      </c>
      <c r="B20" s="7" t="s">
        <v>9</v>
      </c>
      <c r="C20">
        <f t="shared" si="4"/>
        <v>110.25</v>
      </c>
      <c r="D20">
        <f>SUMIF('Выбор коробок'!B3:B23,9,X13:X37)</f>
        <v>0</v>
      </c>
      <c r="E20">
        <f>SUMIF('Выбор коробок'!B3:B23,9,'Выбор коробок'!$C$3:$C$23)</f>
        <v>0</v>
      </c>
      <c r="F20" s="1">
        <f t="shared" si="5"/>
        <v>0</v>
      </c>
      <c r="G20" s="22"/>
      <c r="H20" s="22"/>
      <c r="I20">
        <f t="shared" si="2"/>
        <v>41067</v>
      </c>
      <c r="J20">
        <f t="shared" si="6"/>
        <v>702297</v>
      </c>
      <c r="L20">
        <f t="shared" si="3"/>
        <v>-49722400</v>
      </c>
      <c r="M20" s="10">
        <f t="shared" si="7"/>
        <v>50400000</v>
      </c>
      <c r="O20">
        <v>9</v>
      </c>
      <c r="P20" s="10">
        <f t="shared" si="8"/>
        <v>900</v>
      </c>
      <c r="Q20">
        <f t="shared" si="9"/>
        <v>10.89</v>
      </c>
      <c r="R20">
        <f t="shared" si="10"/>
        <v>15.21</v>
      </c>
      <c r="S20">
        <f t="shared" si="11"/>
        <v>19.36</v>
      </c>
      <c r="T20">
        <f t="shared" si="12"/>
        <v>24.01</v>
      </c>
      <c r="U20">
        <f t="shared" si="13"/>
        <v>39.69</v>
      </c>
      <c r="V20">
        <f t="shared" si="14"/>
        <v>288.8</v>
      </c>
      <c r="W20">
        <f t="shared" si="15"/>
        <v>77.44</v>
      </c>
      <c r="X20">
        <f t="shared" si="16"/>
        <v>110.25</v>
      </c>
      <c r="Y20">
        <f t="shared" si="17"/>
        <v>121</v>
      </c>
      <c r="Z20">
        <f t="shared" si="18"/>
        <v>174.24</v>
      </c>
      <c r="AA20">
        <f t="shared" si="19"/>
        <v>84.64</v>
      </c>
      <c r="AB20">
        <f t="shared" si="20"/>
        <v>104.04</v>
      </c>
      <c r="AC20">
        <f t="shared" si="21"/>
        <v>125.44</v>
      </c>
      <c r="AD20">
        <f t="shared" si="22"/>
        <v>201.64</v>
      </c>
      <c r="AE20">
        <f t="shared" si="23"/>
        <v>306.25</v>
      </c>
      <c r="AF20">
        <f t="shared" si="24"/>
        <v>98.01</v>
      </c>
      <c r="AG20">
        <f t="shared" si="25"/>
        <v>132.25</v>
      </c>
      <c r="AH20">
        <f t="shared" si="26"/>
        <v>158.76</v>
      </c>
      <c r="AI20">
        <f t="shared" si="27"/>
        <v>207.36</v>
      </c>
      <c r="AJ20">
        <f t="shared" si="28"/>
        <v>268.96</v>
      </c>
    </row>
    <row r="21" spans="1:36" ht="12.75">
      <c r="A21">
        <v>10</v>
      </c>
      <c r="B21" s="7" t="s">
        <v>10</v>
      </c>
      <c r="C21">
        <f t="shared" si="4"/>
        <v>121</v>
      </c>
      <c r="D21">
        <f>SUMIF('Выбор коробок'!B3:B23,10,Y13:Y37)</f>
        <v>0</v>
      </c>
      <c r="E21">
        <f>SUMIF('Выбор коробок'!B3:B23,10,'Выбор коробок'!$C$3:$C$23)</f>
        <v>0</v>
      </c>
      <c r="F21" s="1">
        <f t="shared" si="5"/>
        <v>0</v>
      </c>
      <c r="G21" s="22"/>
      <c r="H21" s="22"/>
      <c r="Q21">
        <f t="shared" si="9"/>
        <v>10.89</v>
      </c>
      <c r="R21">
        <f t="shared" si="10"/>
        <v>15.21</v>
      </c>
      <c r="S21">
        <f t="shared" si="11"/>
        <v>19.36</v>
      </c>
      <c r="T21">
        <f t="shared" si="12"/>
        <v>24.01</v>
      </c>
      <c r="U21">
        <f t="shared" si="13"/>
        <v>39.69</v>
      </c>
      <c r="V21">
        <f t="shared" si="14"/>
        <v>288.8</v>
      </c>
      <c r="W21">
        <f t="shared" si="15"/>
        <v>77.44</v>
      </c>
      <c r="X21">
        <f t="shared" si="16"/>
        <v>110.25</v>
      </c>
      <c r="Y21">
        <f t="shared" si="17"/>
        <v>121</v>
      </c>
      <c r="Z21">
        <f t="shared" si="18"/>
        <v>174.24</v>
      </c>
      <c r="AA21">
        <f t="shared" si="19"/>
        <v>84.64</v>
      </c>
      <c r="AB21">
        <f t="shared" si="20"/>
        <v>104.04</v>
      </c>
      <c r="AC21">
        <f t="shared" si="21"/>
        <v>125.44</v>
      </c>
      <c r="AD21">
        <f t="shared" si="22"/>
        <v>201.64</v>
      </c>
      <c r="AE21">
        <f t="shared" si="23"/>
        <v>306.25</v>
      </c>
      <c r="AF21">
        <f t="shared" si="24"/>
        <v>98.01</v>
      </c>
      <c r="AG21">
        <f t="shared" si="25"/>
        <v>132.25</v>
      </c>
      <c r="AH21">
        <f t="shared" si="26"/>
        <v>158.76</v>
      </c>
      <c r="AI21">
        <f t="shared" si="27"/>
        <v>207.36</v>
      </c>
      <c r="AJ21">
        <f t="shared" si="28"/>
        <v>268.96</v>
      </c>
    </row>
    <row r="22" spans="1:36" ht="12.75">
      <c r="A22">
        <v>11</v>
      </c>
      <c r="B22" s="7" t="s">
        <v>11</v>
      </c>
      <c r="C22">
        <f t="shared" si="4"/>
        <v>174.24</v>
      </c>
      <c r="D22">
        <f>SUMIF('Выбор коробок'!B3:B23,11,Z13:Z37)</f>
        <v>0</v>
      </c>
      <c r="E22">
        <f>SUMIF('Выбор коробок'!B3:B23,11,'Выбор коробок'!$C$3:$C$23)</f>
        <v>0</v>
      </c>
      <c r="F22" s="1">
        <f t="shared" si="5"/>
        <v>0</v>
      </c>
      <c r="G22" s="22"/>
      <c r="H22" s="22"/>
      <c r="M22" s="10">
        <v>367200</v>
      </c>
      <c r="P22" s="10">
        <v>90</v>
      </c>
      <c r="Q22">
        <f t="shared" si="9"/>
        <v>10.89</v>
      </c>
      <c r="R22">
        <f t="shared" si="10"/>
        <v>15.21</v>
      </c>
      <c r="S22">
        <f t="shared" si="11"/>
        <v>19.36</v>
      </c>
      <c r="T22">
        <f t="shared" si="12"/>
        <v>24.01</v>
      </c>
      <c r="U22">
        <f t="shared" si="13"/>
        <v>39.69</v>
      </c>
      <c r="V22">
        <f t="shared" si="14"/>
        <v>288.8</v>
      </c>
      <c r="W22">
        <f t="shared" si="15"/>
        <v>77.44</v>
      </c>
      <c r="X22">
        <f t="shared" si="16"/>
        <v>110.25</v>
      </c>
      <c r="Y22">
        <f t="shared" si="17"/>
        <v>121</v>
      </c>
      <c r="Z22">
        <f t="shared" si="18"/>
        <v>174.24</v>
      </c>
      <c r="AA22">
        <f t="shared" si="19"/>
        <v>84.64</v>
      </c>
      <c r="AB22">
        <f t="shared" si="20"/>
        <v>104.04</v>
      </c>
      <c r="AC22">
        <f t="shared" si="21"/>
        <v>125.44</v>
      </c>
      <c r="AD22">
        <f t="shared" si="22"/>
        <v>201.64</v>
      </c>
      <c r="AE22">
        <f t="shared" si="23"/>
        <v>306.25</v>
      </c>
      <c r="AF22">
        <f t="shared" si="24"/>
        <v>98.01</v>
      </c>
      <c r="AG22">
        <f t="shared" si="25"/>
        <v>132.25</v>
      </c>
      <c r="AH22">
        <f t="shared" si="26"/>
        <v>158.76</v>
      </c>
      <c r="AI22">
        <f t="shared" si="27"/>
        <v>207.36</v>
      </c>
      <c r="AJ22">
        <f t="shared" si="28"/>
        <v>268.96</v>
      </c>
    </row>
    <row r="23" spans="1:36" ht="12.75">
      <c r="A23">
        <v>12</v>
      </c>
      <c r="B23" s="7" t="s">
        <v>12</v>
      </c>
      <c r="C23">
        <f t="shared" si="4"/>
        <v>84.64</v>
      </c>
      <c r="D23">
        <f>SUMIF('Выбор коробок'!B3:B23,12,AA13:AA37)</f>
        <v>0</v>
      </c>
      <c r="E23">
        <f>SUMIF('Выбор коробок'!B3:B23,12,'Выбор коробок'!$C$3:$C$23)</f>
        <v>0</v>
      </c>
      <c r="F23" s="1">
        <f t="shared" si="5"/>
        <v>0</v>
      </c>
      <c r="G23" s="22"/>
      <c r="H23" s="22"/>
      <c r="M23" s="10">
        <v>968000</v>
      </c>
      <c r="P23" s="10">
        <v>110</v>
      </c>
      <c r="Q23">
        <f t="shared" si="9"/>
        <v>10.89</v>
      </c>
      <c r="R23">
        <f t="shared" si="10"/>
        <v>15.21</v>
      </c>
      <c r="S23">
        <f t="shared" si="11"/>
        <v>19.36</v>
      </c>
      <c r="T23">
        <f t="shared" si="12"/>
        <v>24.01</v>
      </c>
      <c r="U23">
        <f t="shared" si="13"/>
        <v>39.69</v>
      </c>
      <c r="V23">
        <f t="shared" si="14"/>
        <v>288.8</v>
      </c>
      <c r="W23">
        <f t="shared" si="15"/>
        <v>77.44</v>
      </c>
      <c r="X23">
        <f t="shared" si="16"/>
        <v>110.25</v>
      </c>
      <c r="Y23">
        <f t="shared" si="17"/>
        <v>121</v>
      </c>
      <c r="Z23">
        <f t="shared" si="18"/>
        <v>174.24</v>
      </c>
      <c r="AA23">
        <f t="shared" si="19"/>
        <v>84.64</v>
      </c>
      <c r="AB23">
        <f t="shared" si="20"/>
        <v>104.04</v>
      </c>
      <c r="AC23">
        <f t="shared" si="21"/>
        <v>125.44</v>
      </c>
      <c r="AD23">
        <f t="shared" si="22"/>
        <v>201.64</v>
      </c>
      <c r="AE23">
        <f t="shared" si="23"/>
        <v>306.25</v>
      </c>
      <c r="AF23">
        <f t="shared" si="24"/>
        <v>98.01</v>
      </c>
      <c r="AG23">
        <f t="shared" si="25"/>
        <v>132.25</v>
      </c>
      <c r="AH23">
        <f t="shared" si="26"/>
        <v>158.76</v>
      </c>
      <c r="AI23">
        <f t="shared" si="27"/>
        <v>207.36</v>
      </c>
      <c r="AJ23">
        <f t="shared" si="28"/>
        <v>268.96</v>
      </c>
    </row>
    <row r="24" spans="1:36" ht="12.75">
      <c r="A24">
        <v>13</v>
      </c>
      <c r="B24" s="7" t="s">
        <v>13</v>
      </c>
      <c r="C24">
        <f t="shared" si="4"/>
        <v>104.04</v>
      </c>
      <c r="D24">
        <f>SUMIF('Выбор коробок'!B3:B23,13,AB13:AB37)</f>
        <v>0</v>
      </c>
      <c r="E24">
        <f>SUMIF('Выбор коробок'!B3:B23,13,'Выбор коробок'!$C$3:$C$23)</f>
        <v>0</v>
      </c>
      <c r="F24" s="1">
        <f t="shared" si="5"/>
        <v>0</v>
      </c>
      <c r="G24" s="22"/>
      <c r="H24" s="22"/>
      <c r="M24" s="10">
        <v>2025000</v>
      </c>
      <c r="P24" s="10">
        <v>150</v>
      </c>
      <c r="Q24">
        <f t="shared" si="9"/>
        <v>10.89</v>
      </c>
      <c r="R24">
        <f t="shared" si="10"/>
        <v>15.21</v>
      </c>
      <c r="S24">
        <f t="shared" si="11"/>
        <v>19.36</v>
      </c>
      <c r="T24">
        <f t="shared" si="12"/>
        <v>24.01</v>
      </c>
      <c r="U24">
        <f t="shared" si="13"/>
        <v>39.69</v>
      </c>
      <c r="V24">
        <f t="shared" si="14"/>
        <v>288.8</v>
      </c>
      <c r="W24">
        <f t="shared" si="15"/>
        <v>77.44</v>
      </c>
      <c r="X24">
        <f t="shared" si="16"/>
        <v>110.25</v>
      </c>
      <c r="Y24">
        <f t="shared" si="17"/>
        <v>121</v>
      </c>
      <c r="Z24">
        <f t="shared" si="18"/>
        <v>174.24</v>
      </c>
      <c r="AA24">
        <f t="shared" si="19"/>
        <v>84.64</v>
      </c>
      <c r="AB24">
        <f t="shared" si="20"/>
        <v>104.04</v>
      </c>
      <c r="AC24">
        <f t="shared" si="21"/>
        <v>125.44</v>
      </c>
      <c r="AD24">
        <f t="shared" si="22"/>
        <v>201.64</v>
      </c>
      <c r="AE24">
        <f t="shared" si="23"/>
        <v>306.25</v>
      </c>
      <c r="AF24">
        <f t="shared" si="24"/>
        <v>98.01</v>
      </c>
      <c r="AG24">
        <f t="shared" si="25"/>
        <v>132.25</v>
      </c>
      <c r="AH24">
        <f t="shared" si="26"/>
        <v>158.76</v>
      </c>
      <c r="AI24">
        <f t="shared" si="27"/>
        <v>207.36</v>
      </c>
      <c r="AJ24">
        <f t="shared" si="28"/>
        <v>268.96</v>
      </c>
    </row>
    <row r="25" spans="1:36" ht="12.75">
      <c r="A25">
        <v>14</v>
      </c>
      <c r="B25" s="7" t="s">
        <v>14</v>
      </c>
      <c r="C25">
        <f t="shared" si="4"/>
        <v>125.44</v>
      </c>
      <c r="D25">
        <f>SUMIF('Выбор коробок'!B3:B23,14,AC13:AC37)</f>
        <v>0</v>
      </c>
      <c r="E25">
        <f>SUMIF('Выбор коробок'!B3:B23,14,'Выбор коробок'!$C$3:$C$23)</f>
        <v>0</v>
      </c>
      <c r="F25" s="1">
        <f t="shared" si="5"/>
        <v>0</v>
      </c>
      <c r="G25" s="22"/>
      <c r="H25" s="22"/>
      <c r="M25" s="10">
        <v>4000000</v>
      </c>
      <c r="P25" s="10">
        <v>200</v>
      </c>
      <c r="Q25">
        <f t="shared" si="9"/>
        <v>10.89</v>
      </c>
      <c r="R25">
        <f t="shared" si="10"/>
        <v>15.21</v>
      </c>
      <c r="S25">
        <f t="shared" si="11"/>
        <v>19.36</v>
      </c>
      <c r="T25">
        <f t="shared" si="12"/>
        <v>24.01</v>
      </c>
      <c r="U25">
        <f t="shared" si="13"/>
        <v>39.69</v>
      </c>
      <c r="V25">
        <f t="shared" si="14"/>
        <v>288.8</v>
      </c>
      <c r="W25">
        <f t="shared" si="15"/>
        <v>77.44</v>
      </c>
      <c r="X25">
        <f t="shared" si="16"/>
        <v>110.25</v>
      </c>
      <c r="Y25">
        <f t="shared" si="17"/>
        <v>121</v>
      </c>
      <c r="Z25">
        <f t="shared" si="18"/>
        <v>174.24</v>
      </c>
      <c r="AA25">
        <f t="shared" si="19"/>
        <v>84.64</v>
      </c>
      <c r="AB25">
        <f t="shared" si="20"/>
        <v>104.04</v>
      </c>
      <c r="AC25">
        <f t="shared" si="21"/>
        <v>125.44</v>
      </c>
      <c r="AD25">
        <f t="shared" si="22"/>
        <v>201.64</v>
      </c>
      <c r="AE25">
        <f t="shared" si="23"/>
        <v>306.25</v>
      </c>
      <c r="AF25">
        <f t="shared" si="24"/>
        <v>98.01</v>
      </c>
      <c r="AG25">
        <f t="shared" si="25"/>
        <v>132.25</v>
      </c>
      <c r="AH25">
        <f t="shared" si="26"/>
        <v>158.76</v>
      </c>
      <c r="AI25">
        <f t="shared" si="27"/>
        <v>207.36</v>
      </c>
      <c r="AJ25">
        <f t="shared" si="28"/>
        <v>268.96</v>
      </c>
    </row>
    <row r="26" spans="1:36" ht="12.75">
      <c r="A26">
        <v>15</v>
      </c>
      <c r="B26" s="7" t="s">
        <v>15</v>
      </c>
      <c r="C26">
        <f t="shared" si="4"/>
        <v>201.64</v>
      </c>
      <c r="D26">
        <f>SUMIF('Выбор коробок'!B3:B23,15,AD13:AD37)</f>
        <v>0</v>
      </c>
      <c r="E26">
        <f>SUMIF('Выбор коробок'!B3:B23,15,'Выбор коробок'!$C$3:$C$23)</f>
        <v>0</v>
      </c>
      <c r="F26" s="1">
        <f t="shared" si="5"/>
        <v>0</v>
      </c>
      <c r="G26" s="22"/>
      <c r="H26" s="22"/>
      <c r="M26" s="10">
        <v>18000000</v>
      </c>
      <c r="P26" s="10">
        <v>300</v>
      </c>
      <c r="Q26">
        <f t="shared" si="9"/>
        <v>10.89</v>
      </c>
      <c r="R26">
        <f t="shared" si="10"/>
        <v>15.21</v>
      </c>
      <c r="S26">
        <f t="shared" si="11"/>
        <v>19.36</v>
      </c>
      <c r="T26">
        <f t="shared" si="12"/>
        <v>24.01</v>
      </c>
      <c r="U26">
        <f t="shared" si="13"/>
        <v>39.69</v>
      </c>
      <c r="V26">
        <f t="shared" si="14"/>
        <v>288.8</v>
      </c>
      <c r="W26">
        <f t="shared" si="15"/>
        <v>77.44</v>
      </c>
      <c r="X26">
        <f t="shared" si="16"/>
        <v>110.25</v>
      </c>
      <c r="Y26">
        <f t="shared" si="17"/>
        <v>121</v>
      </c>
      <c r="Z26">
        <f t="shared" si="18"/>
        <v>174.24</v>
      </c>
      <c r="AA26">
        <f t="shared" si="19"/>
        <v>84.64</v>
      </c>
      <c r="AB26">
        <f t="shared" si="20"/>
        <v>104.04</v>
      </c>
      <c r="AC26">
        <f t="shared" si="21"/>
        <v>125.44</v>
      </c>
      <c r="AD26">
        <f t="shared" si="22"/>
        <v>201.64</v>
      </c>
      <c r="AE26">
        <f t="shared" si="23"/>
        <v>306.25</v>
      </c>
      <c r="AF26">
        <f t="shared" si="24"/>
        <v>98.01</v>
      </c>
      <c r="AG26">
        <f t="shared" si="25"/>
        <v>132.25</v>
      </c>
      <c r="AH26">
        <f t="shared" si="26"/>
        <v>158.76</v>
      </c>
      <c r="AI26">
        <f t="shared" si="27"/>
        <v>207.36</v>
      </c>
      <c r="AJ26">
        <f t="shared" si="28"/>
        <v>268.96</v>
      </c>
    </row>
    <row r="27" spans="1:36" ht="12.75">
      <c r="A27">
        <v>16</v>
      </c>
      <c r="B27" s="7" t="s">
        <v>16</v>
      </c>
      <c r="C27">
        <f t="shared" si="4"/>
        <v>306.25</v>
      </c>
      <c r="D27">
        <f>SUMIF('Выбор коробок'!B3:B23,16,AE13:AE37)</f>
        <v>0</v>
      </c>
      <c r="E27">
        <f>SUMIF('Выбор коробок'!B3:B23,16,'Выбор коробок'!$C$3:$C$23)</f>
        <v>0</v>
      </c>
      <c r="F27" s="1">
        <f t="shared" si="5"/>
        <v>0</v>
      </c>
      <c r="G27" s="22"/>
      <c r="H27" s="22"/>
      <c r="M27" s="10">
        <v>32000000</v>
      </c>
      <c r="P27" s="10">
        <v>400</v>
      </c>
      <c r="Q27">
        <f t="shared" si="9"/>
        <v>10.89</v>
      </c>
      <c r="R27">
        <f t="shared" si="10"/>
        <v>15.21</v>
      </c>
      <c r="S27">
        <f t="shared" si="11"/>
        <v>19.36</v>
      </c>
      <c r="T27">
        <f t="shared" si="12"/>
        <v>24.01</v>
      </c>
      <c r="U27">
        <f t="shared" si="13"/>
        <v>39.69</v>
      </c>
      <c r="V27">
        <f t="shared" si="14"/>
        <v>288.8</v>
      </c>
      <c r="W27">
        <f t="shared" si="15"/>
        <v>77.44</v>
      </c>
      <c r="X27">
        <f t="shared" si="16"/>
        <v>110.25</v>
      </c>
      <c r="Y27">
        <f t="shared" si="17"/>
        <v>121</v>
      </c>
      <c r="Z27">
        <f t="shared" si="18"/>
        <v>174.24</v>
      </c>
      <c r="AA27">
        <f t="shared" si="19"/>
        <v>84.64</v>
      </c>
      <c r="AB27">
        <f t="shared" si="20"/>
        <v>104.04</v>
      </c>
      <c r="AC27">
        <f t="shared" si="21"/>
        <v>125.44</v>
      </c>
      <c r="AD27">
        <f t="shared" si="22"/>
        <v>201.64</v>
      </c>
      <c r="AE27">
        <f t="shared" si="23"/>
        <v>306.25</v>
      </c>
      <c r="AF27">
        <f t="shared" si="24"/>
        <v>98.01</v>
      </c>
      <c r="AG27">
        <f t="shared" si="25"/>
        <v>132.25</v>
      </c>
      <c r="AH27">
        <f t="shared" si="26"/>
        <v>158.76</v>
      </c>
      <c r="AI27">
        <f t="shared" si="27"/>
        <v>207.36</v>
      </c>
      <c r="AJ27">
        <f t="shared" si="28"/>
        <v>268.96</v>
      </c>
    </row>
    <row r="28" spans="1:36" ht="12.75">
      <c r="A28">
        <v>17</v>
      </c>
      <c r="B28" s="7" t="s">
        <v>17</v>
      </c>
      <c r="C28">
        <f t="shared" si="4"/>
        <v>98.01</v>
      </c>
      <c r="D28">
        <f>SUMIF('Выбор коробок'!B3:B23,17,AF13:AF37)</f>
        <v>0</v>
      </c>
      <c r="E28">
        <f>SUMIF('Выбор коробок'!B3:B23,17,'Выбор коробок'!$C$3:$C$23)</f>
        <v>0</v>
      </c>
      <c r="F28" s="1">
        <f t="shared" si="5"/>
        <v>0</v>
      </c>
      <c r="G28" s="22"/>
      <c r="H28" s="22"/>
      <c r="M28" s="10">
        <v>48000000</v>
      </c>
      <c r="P28" s="10">
        <v>600</v>
      </c>
      <c r="Q28">
        <f t="shared" si="9"/>
        <v>10.89</v>
      </c>
      <c r="R28">
        <f t="shared" si="10"/>
        <v>15.21</v>
      </c>
      <c r="S28">
        <f t="shared" si="11"/>
        <v>19.36</v>
      </c>
      <c r="T28">
        <f t="shared" si="12"/>
        <v>24.01</v>
      </c>
      <c r="U28">
        <f t="shared" si="13"/>
        <v>39.69</v>
      </c>
      <c r="V28">
        <f t="shared" si="14"/>
        <v>288.8</v>
      </c>
      <c r="W28">
        <f t="shared" si="15"/>
        <v>77.44</v>
      </c>
      <c r="X28">
        <f t="shared" si="16"/>
        <v>110.25</v>
      </c>
      <c r="Y28">
        <f t="shared" si="17"/>
        <v>121</v>
      </c>
      <c r="Z28">
        <f t="shared" si="18"/>
        <v>174.24</v>
      </c>
      <c r="AA28">
        <f t="shared" si="19"/>
        <v>84.64</v>
      </c>
      <c r="AB28">
        <f t="shared" si="20"/>
        <v>104.04</v>
      </c>
      <c r="AC28">
        <f t="shared" si="21"/>
        <v>125.44</v>
      </c>
      <c r="AD28">
        <f t="shared" si="22"/>
        <v>201.64</v>
      </c>
      <c r="AE28">
        <f t="shared" si="23"/>
        <v>306.25</v>
      </c>
      <c r="AF28">
        <f t="shared" si="24"/>
        <v>98.01</v>
      </c>
      <c r="AG28">
        <f t="shared" si="25"/>
        <v>132.25</v>
      </c>
      <c r="AH28">
        <f t="shared" si="26"/>
        <v>158.76</v>
      </c>
      <c r="AI28">
        <f t="shared" si="27"/>
        <v>207.36</v>
      </c>
      <c r="AJ28">
        <f t="shared" si="28"/>
        <v>268.96</v>
      </c>
    </row>
    <row r="29" spans="1:36" ht="12.75">
      <c r="A29">
        <v>18</v>
      </c>
      <c r="B29" s="7" t="s">
        <v>18</v>
      </c>
      <c r="C29">
        <f t="shared" si="4"/>
        <v>132.25</v>
      </c>
      <c r="D29">
        <f>SUMIF('Выбор коробок'!B3:B23,18,AG13:AG37)</f>
        <v>0</v>
      </c>
      <c r="E29">
        <f>SUMIF('Выбор коробок'!B3:B23,18,'Выбор коробок'!$C$3:$C$23)</f>
        <v>0</v>
      </c>
      <c r="F29" s="1">
        <f t="shared" si="5"/>
        <v>0</v>
      </c>
      <c r="G29" s="22"/>
      <c r="H29" s="22"/>
      <c r="M29" s="10">
        <v>72000000</v>
      </c>
      <c r="P29" s="10">
        <v>600</v>
      </c>
      <c r="Q29">
        <f t="shared" si="9"/>
        <v>10.89</v>
      </c>
      <c r="R29">
        <f t="shared" si="10"/>
        <v>15.21</v>
      </c>
      <c r="S29">
        <f t="shared" si="11"/>
        <v>19.36</v>
      </c>
      <c r="T29">
        <f t="shared" si="12"/>
        <v>24.01</v>
      </c>
      <c r="U29">
        <f t="shared" si="13"/>
        <v>39.69</v>
      </c>
      <c r="V29">
        <f t="shared" si="14"/>
        <v>288.8</v>
      </c>
      <c r="W29">
        <f t="shared" si="15"/>
        <v>77.44</v>
      </c>
      <c r="X29">
        <f t="shared" si="16"/>
        <v>110.25</v>
      </c>
      <c r="Y29">
        <f t="shared" si="17"/>
        <v>121</v>
      </c>
      <c r="Z29">
        <f t="shared" si="18"/>
        <v>174.24</v>
      </c>
      <c r="AA29">
        <f t="shared" si="19"/>
        <v>84.64</v>
      </c>
      <c r="AB29">
        <f t="shared" si="20"/>
        <v>104.04</v>
      </c>
      <c r="AC29">
        <f t="shared" si="21"/>
        <v>125.44</v>
      </c>
      <c r="AD29">
        <f t="shared" si="22"/>
        <v>201.64</v>
      </c>
      <c r="AE29">
        <f t="shared" si="23"/>
        <v>306.25</v>
      </c>
      <c r="AF29">
        <f t="shared" si="24"/>
        <v>98.01</v>
      </c>
      <c r="AG29">
        <f t="shared" si="25"/>
        <v>132.25</v>
      </c>
      <c r="AH29">
        <f t="shared" si="26"/>
        <v>158.76</v>
      </c>
      <c r="AI29">
        <f t="shared" si="27"/>
        <v>207.36</v>
      </c>
      <c r="AJ29">
        <f t="shared" si="28"/>
        <v>268.96</v>
      </c>
    </row>
    <row r="30" spans="1:36" ht="12.75">
      <c r="A30">
        <v>19</v>
      </c>
      <c r="B30" s="7" t="s">
        <v>19</v>
      </c>
      <c r="C30">
        <f t="shared" si="4"/>
        <v>158.76</v>
      </c>
      <c r="D30">
        <f>SUMIF('Выбор коробок'!B3:B23,19,AH13:AH37)</f>
        <v>0</v>
      </c>
      <c r="E30">
        <f>SUMIF('Выбор коробок'!B3:B23,19,'Выбор коробок'!$C$3:$C$23)</f>
        <v>0</v>
      </c>
      <c r="F30" s="1">
        <f t="shared" si="5"/>
        <v>0</v>
      </c>
      <c r="G30" s="22"/>
      <c r="H30" s="22"/>
      <c r="Q30">
        <f t="shared" si="9"/>
        <v>10.89</v>
      </c>
      <c r="R30">
        <f t="shared" si="10"/>
        <v>15.21</v>
      </c>
      <c r="S30">
        <f t="shared" si="11"/>
        <v>19.36</v>
      </c>
      <c r="T30">
        <f t="shared" si="12"/>
        <v>24.01</v>
      </c>
      <c r="U30">
        <f t="shared" si="13"/>
        <v>39.69</v>
      </c>
      <c r="V30">
        <f t="shared" si="14"/>
        <v>288.8</v>
      </c>
      <c r="W30">
        <f t="shared" si="15"/>
        <v>77.44</v>
      </c>
      <c r="X30">
        <f t="shared" si="16"/>
        <v>110.25</v>
      </c>
      <c r="Y30">
        <f t="shared" si="17"/>
        <v>121</v>
      </c>
      <c r="Z30">
        <f t="shared" si="18"/>
        <v>174.24</v>
      </c>
      <c r="AA30">
        <f t="shared" si="19"/>
        <v>84.64</v>
      </c>
      <c r="AB30">
        <f t="shared" si="20"/>
        <v>104.04</v>
      </c>
      <c r="AC30">
        <f t="shared" si="21"/>
        <v>125.44</v>
      </c>
      <c r="AD30">
        <f t="shared" si="22"/>
        <v>201.64</v>
      </c>
      <c r="AE30">
        <f t="shared" si="23"/>
        <v>306.25</v>
      </c>
      <c r="AF30">
        <f t="shared" si="24"/>
        <v>98.01</v>
      </c>
      <c r="AG30">
        <f t="shared" si="25"/>
        <v>132.25</v>
      </c>
      <c r="AH30">
        <f t="shared" si="26"/>
        <v>158.76</v>
      </c>
      <c r="AI30">
        <f t="shared" si="27"/>
        <v>207.36</v>
      </c>
      <c r="AJ30">
        <f t="shared" si="28"/>
        <v>268.96</v>
      </c>
    </row>
    <row r="31" spans="1:36" ht="12.75">
      <c r="A31">
        <v>20</v>
      </c>
      <c r="B31" s="7" t="s">
        <v>20</v>
      </c>
      <c r="C31">
        <f t="shared" si="4"/>
        <v>207.36</v>
      </c>
      <c r="D31">
        <f>SUMIF('Выбор коробок'!B3:B23,20,AI13:AI37)</f>
        <v>0</v>
      </c>
      <c r="E31">
        <f>SUMIF('Выбор коробок'!B3:B23,20,'Выбор коробок'!$C$3:$C$23)</f>
        <v>0</v>
      </c>
      <c r="F31" s="1">
        <f t="shared" si="5"/>
        <v>0</v>
      </c>
      <c r="G31" s="22"/>
      <c r="H31" s="22"/>
      <c r="Q31">
        <f t="shared" si="9"/>
        <v>10.89</v>
      </c>
      <c r="R31">
        <f t="shared" si="10"/>
        <v>15.21</v>
      </c>
      <c r="S31">
        <f t="shared" si="11"/>
        <v>19.36</v>
      </c>
      <c r="T31">
        <f t="shared" si="12"/>
        <v>24.01</v>
      </c>
      <c r="U31">
        <f t="shared" si="13"/>
        <v>39.69</v>
      </c>
      <c r="V31">
        <f t="shared" si="14"/>
        <v>288.8</v>
      </c>
      <c r="W31">
        <f t="shared" si="15"/>
        <v>77.44</v>
      </c>
      <c r="X31">
        <f t="shared" si="16"/>
        <v>110.25</v>
      </c>
      <c r="Y31">
        <f t="shared" si="17"/>
        <v>121</v>
      </c>
      <c r="Z31">
        <f t="shared" si="18"/>
        <v>174.24</v>
      </c>
      <c r="AA31">
        <f t="shared" si="19"/>
        <v>84.64</v>
      </c>
      <c r="AB31">
        <f t="shared" si="20"/>
        <v>104.04</v>
      </c>
      <c r="AC31">
        <f t="shared" si="21"/>
        <v>125.44</v>
      </c>
      <c r="AD31">
        <f t="shared" si="22"/>
        <v>201.64</v>
      </c>
      <c r="AE31">
        <f t="shared" si="23"/>
        <v>306.25</v>
      </c>
      <c r="AF31">
        <f t="shared" si="24"/>
        <v>98.01</v>
      </c>
      <c r="AG31">
        <f t="shared" si="25"/>
        <v>132.25</v>
      </c>
      <c r="AH31">
        <f t="shared" si="26"/>
        <v>158.76</v>
      </c>
      <c r="AI31">
        <f t="shared" si="27"/>
        <v>207.36</v>
      </c>
      <c r="AJ31">
        <f t="shared" si="28"/>
        <v>268.96</v>
      </c>
    </row>
    <row r="32" spans="1:36" ht="13.5" thickBot="1">
      <c r="A32">
        <v>21</v>
      </c>
      <c r="B32" s="8" t="s">
        <v>21</v>
      </c>
      <c r="C32">
        <f t="shared" si="4"/>
        <v>268.96</v>
      </c>
      <c r="D32">
        <f>SUMIF('Выбор коробок'!B3:B23,21,AJ13:AJ37)</f>
        <v>0</v>
      </c>
      <c r="E32">
        <f>SUMIF('Выбор коробок'!B3:B23,21,'Выбор коробок'!$C$3:$C$23)</f>
        <v>0</v>
      </c>
      <c r="F32" s="1">
        <f t="shared" si="5"/>
        <v>0</v>
      </c>
      <c r="G32" s="22"/>
      <c r="H32" s="22"/>
      <c r="Q32">
        <f t="shared" si="9"/>
        <v>10.89</v>
      </c>
      <c r="R32">
        <f t="shared" si="10"/>
        <v>15.21</v>
      </c>
      <c r="S32">
        <f t="shared" si="11"/>
        <v>19.36</v>
      </c>
      <c r="T32">
        <f t="shared" si="12"/>
        <v>24.01</v>
      </c>
      <c r="U32">
        <f t="shared" si="13"/>
        <v>39.69</v>
      </c>
      <c r="V32">
        <f t="shared" si="14"/>
        <v>288.8</v>
      </c>
      <c r="W32">
        <f t="shared" si="15"/>
        <v>77.44</v>
      </c>
      <c r="X32">
        <f t="shared" si="16"/>
        <v>110.25</v>
      </c>
      <c r="Y32">
        <f t="shared" si="17"/>
        <v>121</v>
      </c>
      <c r="Z32">
        <f t="shared" si="18"/>
        <v>174.24</v>
      </c>
      <c r="AA32">
        <f t="shared" si="19"/>
        <v>84.64</v>
      </c>
      <c r="AB32">
        <f t="shared" si="20"/>
        <v>104.04</v>
      </c>
      <c r="AC32">
        <f t="shared" si="21"/>
        <v>125.44</v>
      </c>
      <c r="AD32">
        <f t="shared" si="22"/>
        <v>201.64</v>
      </c>
      <c r="AE32">
        <f t="shared" si="23"/>
        <v>306.25</v>
      </c>
      <c r="AF32">
        <f t="shared" si="24"/>
        <v>98.01</v>
      </c>
      <c r="AG32">
        <f t="shared" si="25"/>
        <v>132.25</v>
      </c>
      <c r="AH32">
        <f t="shared" si="26"/>
        <v>158.76</v>
      </c>
      <c r="AI32">
        <f t="shared" si="27"/>
        <v>207.36</v>
      </c>
      <c r="AJ32">
        <f t="shared" si="28"/>
        <v>268.96</v>
      </c>
    </row>
    <row r="33" spans="5:36" ht="12.75">
      <c r="E33" t="s">
        <v>51</v>
      </c>
      <c r="Q33">
        <f t="shared" si="9"/>
        <v>10.89</v>
      </c>
      <c r="R33">
        <f t="shared" si="10"/>
        <v>15.21</v>
      </c>
      <c r="S33">
        <f t="shared" si="11"/>
        <v>19.36</v>
      </c>
      <c r="T33">
        <f t="shared" si="12"/>
        <v>24.01</v>
      </c>
      <c r="U33">
        <f t="shared" si="13"/>
        <v>39.69</v>
      </c>
      <c r="V33">
        <f t="shared" si="14"/>
        <v>288.8</v>
      </c>
      <c r="W33">
        <f t="shared" si="15"/>
        <v>77.44</v>
      </c>
      <c r="X33">
        <f t="shared" si="16"/>
        <v>110.25</v>
      </c>
      <c r="Y33">
        <f t="shared" si="17"/>
        <v>121</v>
      </c>
      <c r="Z33">
        <f t="shared" si="18"/>
        <v>174.24</v>
      </c>
      <c r="AA33">
        <f t="shared" si="19"/>
        <v>84.64</v>
      </c>
      <c r="AB33">
        <f t="shared" si="20"/>
        <v>104.04</v>
      </c>
      <c r="AC33">
        <f t="shared" si="21"/>
        <v>125.44</v>
      </c>
      <c r="AD33">
        <f t="shared" si="22"/>
        <v>201.64</v>
      </c>
      <c r="AE33">
        <f t="shared" si="23"/>
        <v>306.25</v>
      </c>
      <c r="AF33">
        <f t="shared" si="24"/>
        <v>98.01</v>
      </c>
      <c r="AG33">
        <f t="shared" si="25"/>
        <v>132.25</v>
      </c>
      <c r="AH33">
        <f t="shared" si="26"/>
        <v>158.76</v>
      </c>
      <c r="AI33">
        <f t="shared" si="27"/>
        <v>207.36</v>
      </c>
      <c r="AJ33">
        <f t="shared" si="28"/>
        <v>268.96</v>
      </c>
    </row>
    <row r="34" spans="3:36" ht="12.75">
      <c r="C34">
        <v>5.445</v>
      </c>
      <c r="D34" s="10">
        <v>27000</v>
      </c>
      <c r="E34" s="10">
        <f>D34*1</f>
        <v>27000</v>
      </c>
      <c r="F34">
        <f>E34*'Выбор коробок'!D3</f>
        <v>0</v>
      </c>
      <c r="G34" t="s">
        <v>45</v>
      </c>
      <c r="H34" s="22">
        <f>SUM(F34:F44)</f>
        <v>661230</v>
      </c>
      <c r="Q34">
        <f t="shared" si="9"/>
        <v>10.89</v>
      </c>
      <c r="R34">
        <f t="shared" si="10"/>
        <v>15.21</v>
      </c>
      <c r="S34">
        <f t="shared" si="11"/>
        <v>19.36</v>
      </c>
      <c r="T34">
        <f t="shared" si="12"/>
        <v>24.01</v>
      </c>
      <c r="U34">
        <f t="shared" si="13"/>
        <v>39.69</v>
      </c>
      <c r="V34">
        <f t="shared" si="14"/>
        <v>288.8</v>
      </c>
      <c r="W34">
        <f t="shared" si="15"/>
        <v>77.44</v>
      </c>
      <c r="X34">
        <f t="shared" si="16"/>
        <v>110.25</v>
      </c>
      <c r="Y34">
        <f t="shared" si="17"/>
        <v>121</v>
      </c>
      <c r="Z34">
        <f t="shared" si="18"/>
        <v>174.24</v>
      </c>
      <c r="AA34">
        <f t="shared" si="19"/>
        <v>84.64</v>
      </c>
      <c r="AB34">
        <f t="shared" si="20"/>
        <v>104.04</v>
      </c>
      <c r="AC34">
        <f t="shared" si="21"/>
        <v>125.44</v>
      </c>
      <c r="AD34">
        <f t="shared" si="22"/>
        <v>201.64</v>
      </c>
      <c r="AE34">
        <f t="shared" si="23"/>
        <v>306.25</v>
      </c>
      <c r="AF34">
        <f t="shared" si="24"/>
        <v>98.01</v>
      </c>
      <c r="AG34">
        <f t="shared" si="25"/>
        <v>132.25</v>
      </c>
      <c r="AH34">
        <f t="shared" si="26"/>
        <v>158.76</v>
      </c>
      <c r="AI34">
        <f t="shared" si="27"/>
        <v>207.36</v>
      </c>
      <c r="AJ34">
        <f t="shared" si="28"/>
        <v>268.96</v>
      </c>
    </row>
    <row r="35" spans="3:36" ht="12.75">
      <c r="C35">
        <v>7.605</v>
      </c>
      <c r="D35" s="10">
        <v>34848</v>
      </c>
      <c r="E35" s="10">
        <f>D35*10</f>
        <v>348480</v>
      </c>
      <c r="F35">
        <f>E35*'Выбор коробок'!E3</f>
        <v>0</v>
      </c>
      <c r="G35" t="s">
        <v>46</v>
      </c>
      <c r="H35" s="22"/>
      <c r="Q35">
        <f t="shared" si="9"/>
        <v>10.89</v>
      </c>
      <c r="R35">
        <f t="shared" si="10"/>
        <v>15.21</v>
      </c>
      <c r="S35">
        <f t="shared" si="11"/>
        <v>19.36</v>
      </c>
      <c r="T35">
        <f t="shared" si="12"/>
        <v>24.01</v>
      </c>
      <c r="U35">
        <f t="shared" si="13"/>
        <v>39.69</v>
      </c>
      <c r="V35">
        <f t="shared" si="14"/>
        <v>288.8</v>
      </c>
      <c r="W35">
        <f t="shared" si="15"/>
        <v>77.44</v>
      </c>
      <c r="X35">
        <f t="shared" si="16"/>
        <v>110.25</v>
      </c>
      <c r="Y35">
        <f t="shared" si="17"/>
        <v>121</v>
      </c>
      <c r="Z35">
        <f t="shared" si="18"/>
        <v>174.24</v>
      </c>
      <c r="AA35">
        <f t="shared" si="19"/>
        <v>84.64</v>
      </c>
      <c r="AB35">
        <f t="shared" si="20"/>
        <v>104.04</v>
      </c>
      <c r="AC35">
        <f t="shared" si="21"/>
        <v>125.44</v>
      </c>
      <c r="AD35">
        <f t="shared" si="22"/>
        <v>201.64</v>
      </c>
      <c r="AE35">
        <f t="shared" si="23"/>
        <v>306.25</v>
      </c>
      <c r="AF35">
        <f t="shared" si="24"/>
        <v>98.01</v>
      </c>
      <c r="AG35">
        <f t="shared" si="25"/>
        <v>132.25</v>
      </c>
      <c r="AH35">
        <f t="shared" si="26"/>
        <v>158.76</v>
      </c>
      <c r="AI35">
        <f t="shared" si="27"/>
        <v>207.36</v>
      </c>
      <c r="AJ35">
        <f t="shared" si="28"/>
        <v>268.96</v>
      </c>
    </row>
    <row r="36" spans="3:36" ht="12.75">
      <c r="C36">
        <v>9.68</v>
      </c>
      <c r="D36" s="10">
        <v>34848</v>
      </c>
      <c r="E36" s="10">
        <f aca="true" t="shared" si="29" ref="E35:E41">D36*1</f>
        <v>34848</v>
      </c>
      <c r="F36">
        <f>E36*'Выбор коробок'!F3</f>
        <v>0</v>
      </c>
      <c r="G36" t="s">
        <v>52</v>
      </c>
      <c r="H36" s="22"/>
      <c r="Q36">
        <f t="shared" si="9"/>
        <v>10.89</v>
      </c>
      <c r="R36">
        <f t="shared" si="10"/>
        <v>15.21</v>
      </c>
      <c r="S36">
        <f t="shared" si="11"/>
        <v>19.36</v>
      </c>
      <c r="T36">
        <f t="shared" si="12"/>
        <v>24.01</v>
      </c>
      <c r="U36">
        <f t="shared" si="13"/>
        <v>39.69</v>
      </c>
      <c r="V36">
        <f t="shared" si="14"/>
        <v>288.8</v>
      </c>
      <c r="W36">
        <f t="shared" si="15"/>
        <v>77.44</v>
      </c>
      <c r="X36">
        <f t="shared" si="16"/>
        <v>110.25</v>
      </c>
      <c r="Y36">
        <f t="shared" si="17"/>
        <v>121</v>
      </c>
      <c r="Z36">
        <f t="shared" si="18"/>
        <v>174.24</v>
      </c>
      <c r="AA36">
        <f t="shared" si="19"/>
        <v>84.64</v>
      </c>
      <c r="AB36">
        <f t="shared" si="20"/>
        <v>104.04</v>
      </c>
      <c r="AC36">
        <f t="shared" si="21"/>
        <v>125.44</v>
      </c>
      <c r="AD36">
        <f t="shared" si="22"/>
        <v>201.64</v>
      </c>
      <c r="AE36">
        <f t="shared" si="23"/>
        <v>306.25</v>
      </c>
      <c r="AF36">
        <f t="shared" si="24"/>
        <v>98.01</v>
      </c>
      <c r="AG36">
        <f t="shared" si="25"/>
        <v>132.25</v>
      </c>
      <c r="AH36">
        <f t="shared" si="26"/>
        <v>158.76</v>
      </c>
      <c r="AI36">
        <f t="shared" si="27"/>
        <v>207.36</v>
      </c>
      <c r="AJ36">
        <f t="shared" si="28"/>
        <v>268.96</v>
      </c>
    </row>
    <row r="37" spans="3:36" ht="12.75">
      <c r="C37">
        <v>12.005</v>
      </c>
      <c r="D37" s="10">
        <v>220410</v>
      </c>
      <c r="E37" s="10">
        <f t="shared" si="29"/>
        <v>220410</v>
      </c>
      <c r="F37">
        <f>E37*'Выбор коробок'!G3</f>
        <v>661230</v>
      </c>
      <c r="G37" t="s">
        <v>47</v>
      </c>
      <c r="H37" s="22"/>
      <c r="Q37">
        <f t="shared" si="9"/>
        <v>10.89</v>
      </c>
      <c r="R37">
        <f t="shared" si="10"/>
        <v>15.21</v>
      </c>
      <c r="S37">
        <f t="shared" si="11"/>
        <v>19.36</v>
      </c>
      <c r="T37">
        <f t="shared" si="12"/>
        <v>24.01</v>
      </c>
      <c r="U37">
        <f t="shared" si="13"/>
        <v>39.69</v>
      </c>
      <c r="V37">
        <f t="shared" si="14"/>
        <v>288.8</v>
      </c>
      <c r="W37">
        <f t="shared" si="15"/>
        <v>77.44</v>
      </c>
      <c r="X37">
        <f t="shared" si="16"/>
        <v>110.25</v>
      </c>
      <c r="Y37">
        <f t="shared" si="17"/>
        <v>121</v>
      </c>
      <c r="Z37">
        <f t="shared" si="18"/>
        <v>174.24</v>
      </c>
      <c r="AA37">
        <f t="shared" si="19"/>
        <v>84.64</v>
      </c>
      <c r="AB37">
        <f t="shared" si="20"/>
        <v>104.04</v>
      </c>
      <c r="AC37">
        <f t="shared" si="21"/>
        <v>125.44</v>
      </c>
      <c r="AD37">
        <f t="shared" si="22"/>
        <v>201.64</v>
      </c>
      <c r="AE37">
        <f t="shared" si="23"/>
        <v>306.25</v>
      </c>
      <c r="AF37">
        <f t="shared" si="24"/>
        <v>98.01</v>
      </c>
      <c r="AG37">
        <f t="shared" si="25"/>
        <v>132.25</v>
      </c>
      <c r="AH37">
        <f t="shared" si="26"/>
        <v>158.76</v>
      </c>
      <c r="AI37">
        <f t="shared" si="27"/>
        <v>207.36</v>
      </c>
      <c r="AJ37">
        <f t="shared" si="28"/>
        <v>268.96</v>
      </c>
    </row>
    <row r="38" spans="3:8" ht="12.75">
      <c r="C38">
        <v>19.845</v>
      </c>
      <c r="D38" s="10">
        <v>286000</v>
      </c>
      <c r="E38" s="10">
        <f>D38*2</f>
        <v>572000</v>
      </c>
      <c r="F38">
        <f>E38*'Выбор коробок'!H3</f>
        <v>0</v>
      </c>
      <c r="G38" t="s">
        <v>53</v>
      </c>
      <c r="H38" s="22"/>
    </row>
    <row r="39" spans="3:8" ht="12.75">
      <c r="C39">
        <v>28.88</v>
      </c>
      <c r="D39" s="10">
        <v>527000</v>
      </c>
      <c r="E39" s="10">
        <f t="shared" si="29"/>
        <v>527000</v>
      </c>
      <c r="F39">
        <f>E39*'Выбор коробок'!I3</f>
        <v>0</v>
      </c>
      <c r="G39" t="s">
        <v>54</v>
      </c>
      <c r="H39" s="22"/>
    </row>
    <row r="40" spans="3:8" ht="12.75">
      <c r="C40">
        <v>38.72</v>
      </c>
      <c r="D40" s="10">
        <v>527000</v>
      </c>
      <c r="E40" s="10">
        <f t="shared" si="29"/>
        <v>527000</v>
      </c>
      <c r="F40">
        <f>E40*'Выбор коробок'!J3</f>
        <v>0</v>
      </c>
      <c r="G40" t="s">
        <v>55</v>
      </c>
      <c r="H40" s="22"/>
    </row>
    <row r="41" spans="3:8" ht="12.75">
      <c r="C41">
        <v>55.125</v>
      </c>
      <c r="D41" s="10">
        <v>527000</v>
      </c>
      <c r="E41" s="10">
        <f t="shared" si="29"/>
        <v>527000</v>
      </c>
      <c r="F41">
        <f>E41*'Выбор коробок'!K3</f>
        <v>0</v>
      </c>
      <c r="G41" t="s">
        <v>56</v>
      </c>
      <c r="H41" s="22"/>
    </row>
    <row r="42" spans="3:8" ht="12.75">
      <c r="C42">
        <v>60.5</v>
      </c>
      <c r="E42" s="10"/>
      <c r="H42" s="22"/>
    </row>
    <row r="43" spans="3:8" ht="12.75">
      <c r="C43">
        <v>87.12</v>
      </c>
      <c r="E43" s="10"/>
      <c r="H43" s="22"/>
    </row>
    <row r="44" spans="3:8" ht="12.75">
      <c r="C44">
        <v>42.32</v>
      </c>
      <c r="E44" s="10"/>
      <c r="H44" s="22"/>
    </row>
    <row r="45" ht="12.75">
      <c r="C45">
        <v>52.02</v>
      </c>
    </row>
    <row r="46" ht="12.75">
      <c r="C46">
        <v>62.72</v>
      </c>
    </row>
    <row r="47" ht="12.75">
      <c r="C47">
        <v>100.82</v>
      </c>
    </row>
    <row r="48" ht="12.75">
      <c r="C48">
        <v>153.125</v>
      </c>
    </row>
    <row r="49" ht="12.75">
      <c r="C49">
        <v>49.005</v>
      </c>
    </row>
    <row r="50" ht="12.75">
      <c r="C50">
        <v>66.125</v>
      </c>
    </row>
    <row r="51" ht="12.75">
      <c r="C51">
        <v>79.38</v>
      </c>
    </row>
    <row r="52" ht="12.75">
      <c r="C52">
        <v>103.68</v>
      </c>
    </row>
    <row r="53" ht="12.75">
      <c r="C53">
        <v>134.48</v>
      </c>
    </row>
  </sheetData>
  <mergeCells count="5">
    <mergeCell ref="E2:E9"/>
    <mergeCell ref="D1:E1"/>
    <mergeCell ref="H34:H44"/>
    <mergeCell ref="G13:G32"/>
    <mergeCell ref="H13:H3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E21"/>
  <sheetViews>
    <sheetView workbookViewId="0" topLeftCell="A1">
      <selection activeCell="C1" sqref="C1:C21"/>
    </sheetView>
  </sheetViews>
  <sheetFormatPr defaultColWidth="9.140625" defaultRowHeight="12.75"/>
  <cols>
    <col min="2" max="2" width="16.8515625" style="0" customWidth="1"/>
    <col min="3" max="3" width="13.8515625" style="0" customWidth="1"/>
    <col min="4" max="4" width="18.57421875" style="0" customWidth="1"/>
  </cols>
  <sheetData>
    <row r="1" spans="2:3" ht="13.5" thickBot="1">
      <c r="B1" s="6" t="s">
        <v>31</v>
      </c>
      <c r="C1" s="6" t="s">
        <v>31</v>
      </c>
    </row>
    <row r="2" spans="2:5" ht="12.75">
      <c r="B2" s="7" t="s">
        <v>22</v>
      </c>
      <c r="C2" s="7" t="s">
        <v>2</v>
      </c>
      <c r="D2" s="4" t="s">
        <v>29</v>
      </c>
      <c r="E2" s="2" t="b">
        <v>0</v>
      </c>
    </row>
    <row r="3" spans="2:5" ht="13.5" thickBot="1">
      <c r="B3" s="7" t="s">
        <v>23</v>
      </c>
      <c r="C3" s="7" t="s">
        <v>3</v>
      </c>
      <c r="D3" s="5" t="s">
        <v>30</v>
      </c>
      <c r="E3" s="3"/>
    </row>
    <row r="4" spans="2:3" ht="12.75">
      <c r="B4" s="7" t="s">
        <v>24</v>
      </c>
      <c r="C4" s="7" t="s">
        <v>4</v>
      </c>
    </row>
    <row r="5" spans="2:3" ht="12.75">
      <c r="B5" s="7" t="s">
        <v>25</v>
      </c>
      <c r="C5" s="7" t="s">
        <v>5</v>
      </c>
    </row>
    <row r="6" spans="2:3" ht="12.75">
      <c r="B6" s="7" t="s">
        <v>26</v>
      </c>
      <c r="C6" s="7" t="s">
        <v>6</v>
      </c>
    </row>
    <row r="7" spans="2:3" ht="12.75">
      <c r="B7" s="7" t="s">
        <v>27</v>
      </c>
      <c r="C7" s="7" t="s">
        <v>7</v>
      </c>
    </row>
    <row r="8" spans="2:3" ht="13.5" thickBot="1">
      <c r="B8" s="8" t="s">
        <v>28</v>
      </c>
      <c r="C8" s="7" t="s">
        <v>8</v>
      </c>
    </row>
    <row r="9" ht="12.75">
      <c r="C9" s="7" t="s">
        <v>9</v>
      </c>
    </row>
    <row r="10" ht="12.75">
      <c r="C10" s="7" t="s">
        <v>10</v>
      </c>
    </row>
    <row r="11" ht="12.75">
      <c r="C11" s="7" t="s">
        <v>11</v>
      </c>
    </row>
    <row r="12" ht="12.75">
      <c r="C12" s="7" t="s">
        <v>12</v>
      </c>
    </row>
    <row r="13" ht="12.75">
      <c r="C13" s="7" t="s">
        <v>13</v>
      </c>
    </row>
    <row r="14" ht="12.75">
      <c r="C14" s="7" t="s">
        <v>14</v>
      </c>
    </row>
    <row r="15" ht="12.75">
      <c r="C15" s="7" t="s">
        <v>15</v>
      </c>
    </row>
    <row r="16" ht="12.75">
      <c r="C16" s="7" t="s">
        <v>16</v>
      </c>
    </row>
    <row r="17" ht="12.75">
      <c r="C17" s="7" t="s">
        <v>17</v>
      </c>
    </row>
    <row r="18" ht="12.75">
      <c r="C18" s="7" t="s">
        <v>18</v>
      </c>
    </row>
    <row r="19" ht="12.75">
      <c r="C19" s="7" t="s">
        <v>19</v>
      </c>
    </row>
    <row r="20" ht="12.75">
      <c r="C20" s="7" t="s">
        <v>20</v>
      </c>
    </row>
    <row r="21" ht="13.5" thickBot="1">
      <c r="C21" s="8" t="s">
        <v>21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"/>
  <dimension ref="A1:K23"/>
  <sheetViews>
    <sheetView tabSelected="1" workbookViewId="0" topLeftCell="A1">
      <selection activeCell="F30" sqref="F30"/>
    </sheetView>
  </sheetViews>
  <sheetFormatPr defaultColWidth="9.140625" defaultRowHeight="12.75"/>
  <cols>
    <col min="1" max="2" width="16.421875" style="0" customWidth="1"/>
    <col min="3" max="3" width="13.140625" style="0" customWidth="1"/>
  </cols>
  <sheetData>
    <row r="1" spans="1:11" ht="24" customHeight="1" thickBot="1">
      <c r="A1" s="30" t="str">
        <f>IF(Лист2!E2=TRUE,(Лист2!D2),(Лист2!D3))</f>
        <v>Коробка распаячная</v>
      </c>
      <c r="B1" s="31"/>
      <c r="C1" s="31" t="str">
        <f>IF(Лист2!E2=FALSE,(VLOOKUP(Лист1!J5,Лист1!H1:I8,2,FALSE)),(VLOOKUP(Лист1!J3,Лист1!H1:I8,2,FALSE)))</f>
        <v>У994</v>
      </c>
      <c r="D1" s="31"/>
      <c r="E1" s="31"/>
      <c r="F1" s="32"/>
      <c r="G1" s="14"/>
      <c r="H1" s="12"/>
      <c r="I1" s="12"/>
      <c r="J1" s="12"/>
      <c r="K1" s="12"/>
    </row>
    <row r="2" spans="1:11" ht="27" customHeight="1" thickBot="1">
      <c r="A2" s="15" t="s">
        <v>0</v>
      </c>
      <c r="B2" s="16" t="s">
        <v>1</v>
      </c>
      <c r="C2" s="16" t="s">
        <v>44</v>
      </c>
      <c r="D2" s="13" t="s">
        <v>45</v>
      </c>
      <c r="E2" s="13" t="s">
        <v>46</v>
      </c>
      <c r="F2" s="13" t="s">
        <v>52</v>
      </c>
      <c r="G2" s="13" t="s">
        <v>47</v>
      </c>
      <c r="H2" s="13" t="s">
        <v>53</v>
      </c>
      <c r="I2" s="13" t="s">
        <v>54</v>
      </c>
      <c r="J2" s="13" t="s">
        <v>55</v>
      </c>
      <c r="K2" s="13" t="s">
        <v>56</v>
      </c>
    </row>
    <row r="3" spans="1:11" ht="16.5" customHeight="1">
      <c r="A3" s="24">
        <v>3</v>
      </c>
      <c r="B3" s="17">
        <v>3</v>
      </c>
      <c r="C3" s="18">
        <v>3</v>
      </c>
      <c r="D3" s="33"/>
      <c r="E3" s="27"/>
      <c r="F3" s="27"/>
      <c r="G3" s="27">
        <v>3</v>
      </c>
      <c r="H3" s="27"/>
      <c r="I3" s="27"/>
      <c r="J3" s="27"/>
      <c r="K3" s="27"/>
    </row>
    <row r="4" spans="1:11" ht="16.5" customHeight="1">
      <c r="A4" s="25"/>
      <c r="B4" s="11">
        <v>1</v>
      </c>
      <c r="C4" s="19"/>
      <c r="D4" s="34"/>
      <c r="E4" s="28"/>
      <c r="F4" s="28"/>
      <c r="G4" s="28"/>
      <c r="H4" s="28"/>
      <c r="I4" s="28"/>
      <c r="J4" s="28"/>
      <c r="K4" s="28"/>
    </row>
    <row r="5" spans="1:11" ht="16.5" customHeight="1" thickBot="1">
      <c r="A5" s="26"/>
      <c r="B5" s="20">
        <v>1</v>
      </c>
      <c r="C5" s="21"/>
      <c r="D5" s="34"/>
      <c r="E5" s="28"/>
      <c r="F5" s="28"/>
      <c r="G5" s="28"/>
      <c r="H5" s="28"/>
      <c r="I5" s="28"/>
      <c r="J5" s="28"/>
      <c r="K5" s="28"/>
    </row>
    <row r="6" spans="1:11" ht="16.5" customHeight="1">
      <c r="A6" s="24">
        <v>1</v>
      </c>
      <c r="B6" s="17">
        <v>1</v>
      </c>
      <c r="C6" s="18"/>
      <c r="D6" s="34"/>
      <c r="E6" s="28"/>
      <c r="F6" s="28"/>
      <c r="G6" s="28"/>
      <c r="H6" s="28"/>
      <c r="I6" s="28"/>
      <c r="J6" s="28"/>
      <c r="K6" s="28"/>
    </row>
    <row r="7" spans="1:11" ht="16.5" customHeight="1">
      <c r="A7" s="25"/>
      <c r="B7" s="11">
        <v>1</v>
      </c>
      <c r="C7" s="19"/>
      <c r="D7" s="34"/>
      <c r="E7" s="28"/>
      <c r="F7" s="28"/>
      <c r="G7" s="28"/>
      <c r="H7" s="28"/>
      <c r="I7" s="28"/>
      <c r="J7" s="28"/>
      <c r="K7" s="28"/>
    </row>
    <row r="8" spans="1:11" ht="16.5" customHeight="1" thickBot="1">
      <c r="A8" s="26"/>
      <c r="B8" s="20">
        <v>1</v>
      </c>
      <c r="C8" s="21"/>
      <c r="D8" s="34"/>
      <c r="E8" s="28"/>
      <c r="F8" s="28"/>
      <c r="G8" s="28"/>
      <c r="H8" s="28"/>
      <c r="I8" s="28"/>
      <c r="J8" s="28"/>
      <c r="K8" s="28"/>
    </row>
    <row r="9" spans="1:11" ht="16.5" customHeight="1">
      <c r="A9" s="24">
        <v>1</v>
      </c>
      <c r="B9" s="17">
        <v>1</v>
      </c>
      <c r="C9" s="18"/>
      <c r="D9" s="34"/>
      <c r="E9" s="28"/>
      <c r="F9" s="28"/>
      <c r="G9" s="28"/>
      <c r="H9" s="28"/>
      <c r="I9" s="28"/>
      <c r="J9" s="28"/>
      <c r="K9" s="28"/>
    </row>
    <row r="10" spans="1:11" ht="16.5" customHeight="1">
      <c r="A10" s="25"/>
      <c r="B10" s="11">
        <v>1</v>
      </c>
      <c r="C10" s="19"/>
      <c r="D10" s="34"/>
      <c r="E10" s="28"/>
      <c r="F10" s="28"/>
      <c r="G10" s="28"/>
      <c r="H10" s="28"/>
      <c r="I10" s="28"/>
      <c r="J10" s="28"/>
      <c r="K10" s="28"/>
    </row>
    <row r="11" spans="1:11" ht="16.5" customHeight="1" thickBot="1">
      <c r="A11" s="26"/>
      <c r="B11" s="20">
        <v>1</v>
      </c>
      <c r="C11" s="21"/>
      <c r="D11" s="34"/>
      <c r="E11" s="28"/>
      <c r="F11" s="28"/>
      <c r="G11" s="28"/>
      <c r="H11" s="28"/>
      <c r="I11" s="28"/>
      <c r="J11" s="28"/>
      <c r="K11" s="28"/>
    </row>
    <row r="12" spans="1:11" ht="16.5" customHeight="1">
      <c r="A12" s="24">
        <v>1</v>
      </c>
      <c r="B12" s="17">
        <v>1</v>
      </c>
      <c r="C12" s="18"/>
      <c r="D12" s="34"/>
      <c r="E12" s="28"/>
      <c r="F12" s="28"/>
      <c r="G12" s="28"/>
      <c r="H12" s="28"/>
      <c r="I12" s="28"/>
      <c r="J12" s="28"/>
      <c r="K12" s="28"/>
    </row>
    <row r="13" spans="1:11" ht="16.5" customHeight="1">
      <c r="A13" s="25"/>
      <c r="B13" s="11">
        <v>1</v>
      </c>
      <c r="C13" s="19"/>
      <c r="D13" s="34"/>
      <c r="E13" s="28"/>
      <c r="F13" s="28"/>
      <c r="G13" s="28"/>
      <c r="H13" s="28"/>
      <c r="I13" s="28"/>
      <c r="J13" s="28"/>
      <c r="K13" s="28"/>
    </row>
    <row r="14" spans="1:11" ht="16.5" customHeight="1" thickBot="1">
      <c r="A14" s="26"/>
      <c r="B14" s="20">
        <v>1</v>
      </c>
      <c r="C14" s="21"/>
      <c r="D14" s="34"/>
      <c r="E14" s="28"/>
      <c r="F14" s="28"/>
      <c r="G14" s="28"/>
      <c r="H14" s="28"/>
      <c r="I14" s="28"/>
      <c r="J14" s="28"/>
      <c r="K14" s="28"/>
    </row>
    <row r="15" spans="1:11" ht="16.5" customHeight="1">
      <c r="A15" s="24">
        <v>1</v>
      </c>
      <c r="B15" s="17">
        <v>1</v>
      </c>
      <c r="C15" s="18"/>
      <c r="D15" s="34"/>
      <c r="E15" s="28"/>
      <c r="F15" s="28"/>
      <c r="G15" s="28"/>
      <c r="H15" s="28"/>
      <c r="I15" s="28"/>
      <c r="J15" s="28"/>
      <c r="K15" s="28"/>
    </row>
    <row r="16" spans="1:11" ht="16.5" customHeight="1">
      <c r="A16" s="25"/>
      <c r="B16" s="11">
        <v>1</v>
      </c>
      <c r="C16" s="19"/>
      <c r="D16" s="34"/>
      <c r="E16" s="28"/>
      <c r="F16" s="28"/>
      <c r="G16" s="28"/>
      <c r="H16" s="28"/>
      <c r="I16" s="28"/>
      <c r="J16" s="28"/>
      <c r="K16" s="28"/>
    </row>
    <row r="17" spans="1:11" ht="16.5" customHeight="1" thickBot="1">
      <c r="A17" s="26"/>
      <c r="B17" s="20">
        <v>1</v>
      </c>
      <c r="C17" s="21"/>
      <c r="D17" s="34"/>
      <c r="E17" s="28"/>
      <c r="F17" s="28"/>
      <c r="G17" s="28"/>
      <c r="H17" s="28"/>
      <c r="I17" s="28"/>
      <c r="J17" s="28"/>
      <c r="K17" s="28"/>
    </row>
    <row r="18" spans="1:11" ht="16.5" customHeight="1">
      <c r="A18" s="24">
        <v>1</v>
      </c>
      <c r="B18" s="17">
        <v>1</v>
      </c>
      <c r="C18" s="18"/>
      <c r="D18" s="34"/>
      <c r="E18" s="28"/>
      <c r="F18" s="28"/>
      <c r="G18" s="28"/>
      <c r="H18" s="28"/>
      <c r="I18" s="28"/>
      <c r="J18" s="28"/>
      <c r="K18" s="28"/>
    </row>
    <row r="19" spans="1:11" ht="16.5" customHeight="1">
      <c r="A19" s="25"/>
      <c r="B19" s="11">
        <v>1</v>
      </c>
      <c r="C19" s="19"/>
      <c r="D19" s="34"/>
      <c r="E19" s="28"/>
      <c r="F19" s="28"/>
      <c r="G19" s="28"/>
      <c r="H19" s="28"/>
      <c r="I19" s="28"/>
      <c r="J19" s="28"/>
      <c r="K19" s="28"/>
    </row>
    <row r="20" spans="1:11" ht="16.5" customHeight="1" thickBot="1">
      <c r="A20" s="26"/>
      <c r="B20" s="20">
        <v>1</v>
      </c>
      <c r="C20" s="21"/>
      <c r="D20" s="34"/>
      <c r="E20" s="28"/>
      <c r="F20" s="28"/>
      <c r="G20" s="28"/>
      <c r="H20" s="28"/>
      <c r="I20" s="28"/>
      <c r="J20" s="28"/>
      <c r="K20" s="28"/>
    </row>
    <row r="21" spans="1:11" ht="16.5" customHeight="1">
      <c r="A21" s="24">
        <v>1</v>
      </c>
      <c r="B21" s="17">
        <v>1</v>
      </c>
      <c r="C21" s="18"/>
      <c r="D21" s="34"/>
      <c r="E21" s="28"/>
      <c r="F21" s="28"/>
      <c r="G21" s="28"/>
      <c r="H21" s="28"/>
      <c r="I21" s="28"/>
      <c r="J21" s="28"/>
      <c r="K21" s="28"/>
    </row>
    <row r="22" spans="1:11" ht="16.5" customHeight="1">
      <c r="A22" s="25"/>
      <c r="B22" s="11">
        <v>1</v>
      </c>
      <c r="C22" s="19"/>
      <c r="D22" s="34"/>
      <c r="E22" s="28"/>
      <c r="F22" s="28"/>
      <c r="G22" s="28"/>
      <c r="H22" s="28"/>
      <c r="I22" s="28"/>
      <c r="J22" s="28"/>
      <c r="K22" s="28"/>
    </row>
    <row r="23" spans="1:11" ht="16.5" customHeight="1" thickBot="1">
      <c r="A23" s="26"/>
      <c r="B23" s="20">
        <v>1</v>
      </c>
      <c r="C23" s="21"/>
      <c r="D23" s="35"/>
      <c r="E23" s="29"/>
      <c r="F23" s="29"/>
      <c r="G23" s="29"/>
      <c r="H23" s="29"/>
      <c r="I23" s="29"/>
      <c r="J23" s="29"/>
      <c r="K23" s="29"/>
    </row>
  </sheetData>
  <mergeCells count="17">
    <mergeCell ref="K3:K23"/>
    <mergeCell ref="H3:H23"/>
    <mergeCell ref="G3:G23"/>
    <mergeCell ref="I3:I23"/>
    <mergeCell ref="J3:J23"/>
    <mergeCell ref="A1:B1"/>
    <mergeCell ref="C1:F1"/>
    <mergeCell ref="A15:A17"/>
    <mergeCell ref="A18:A20"/>
    <mergeCell ref="D3:D23"/>
    <mergeCell ref="A3:A5"/>
    <mergeCell ref="A6:A8"/>
    <mergeCell ref="A9:A11"/>
    <mergeCell ref="A12:A14"/>
    <mergeCell ref="F3:F23"/>
    <mergeCell ref="E3:E23"/>
    <mergeCell ref="A21:A23"/>
  </mergeCells>
  <printOptions/>
  <pageMargins left="0.75" right="0.75" top="1" bottom="1" header="0.5" footer="0.5"/>
  <pageSetup horizontalDpi="600" verticalDpi="600" orientation="landscape" paperSize="8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ВЛАДИМИР</cp:lastModifiedBy>
  <dcterms:created xsi:type="dcterms:W3CDTF">1996-10-08T23:32:33Z</dcterms:created>
  <dcterms:modified xsi:type="dcterms:W3CDTF">2006-08-14T12:57:02Z</dcterms:modified>
  <cp:category/>
  <cp:version/>
  <cp:contentType/>
  <cp:contentStatus/>
</cp:coreProperties>
</file>