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176" yWindow="288" windowWidth="5328" windowHeight="7776" activeTab="0"/>
  </bookViews>
  <sheets>
    <sheet name="Выбор сечения" sheetId="1" r:id="rId1"/>
    <sheet name="СП" sheetId="2" r:id="rId2"/>
    <sheet name="ПУЭ" sheetId="3" r:id="rId3"/>
    <sheet name="Параметры двигателей" sheetId="4" r:id="rId4"/>
  </sheets>
  <definedNames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'СП'!$K$69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 fullPrecision="0"/>
</workbook>
</file>

<file path=xl/sharedStrings.xml><?xml version="1.0" encoding="utf-8"?>
<sst xmlns="http://schemas.openxmlformats.org/spreadsheetml/2006/main" count="670" uniqueCount="323">
  <si>
    <t xml:space="preserve">Удельная расчетная электрическая нагрузка электроприемников </t>
  </si>
  <si>
    <t>квартир жилых зданий, кВт/квартира</t>
  </si>
  <si>
    <t>№№</t>
  </si>
  <si>
    <t>Потребители</t>
  </si>
  <si>
    <t>Количество квартир</t>
  </si>
  <si>
    <t>п.п.</t>
  </si>
  <si>
    <t>электроэнергии</t>
  </si>
  <si>
    <t>- на природном газе</t>
  </si>
  <si>
    <t>- на сжиженном газе (в том числе при групповых установках) и на твердом топливе</t>
  </si>
  <si>
    <t>электрическими мощностью до 8,5 кВт</t>
  </si>
  <si>
    <t>Квартиры повышенной комфортности с электрическими плитами мощностью до 10,5 кВт **</t>
  </si>
  <si>
    <t>Домики на участках садоводческих товариществ</t>
  </si>
  <si>
    <t>_________</t>
  </si>
  <si>
    <t xml:space="preserve">  * в зданиях по типовым проектам</t>
  </si>
  <si>
    <t>** рекомендуемые значения</t>
  </si>
  <si>
    <t>Введите число квартир в стояке</t>
  </si>
  <si>
    <t>Введите число квартир в магистрале</t>
  </si>
  <si>
    <t>Введите число квартир в доме</t>
  </si>
  <si>
    <t>Выберите характер нагрузки</t>
  </si>
  <si>
    <t>Стояк</t>
  </si>
  <si>
    <t>Расчетный ток в стояке</t>
  </si>
  <si>
    <t>Расчетная нагрузка стояка</t>
  </si>
  <si>
    <t>Марка провода линии</t>
  </si>
  <si>
    <t>Длительно допустимый ток линии</t>
  </si>
  <si>
    <t>Магистраль</t>
  </si>
  <si>
    <t>Расчетный ток в магистрале</t>
  </si>
  <si>
    <t>Расчетная нагрузка магистрали</t>
  </si>
  <si>
    <t>Марка провода магистрали</t>
  </si>
  <si>
    <t>Ввод</t>
  </si>
  <si>
    <t>Расчетный ток на вводе в здание</t>
  </si>
  <si>
    <t>Расчетная нагрузка здания</t>
  </si>
  <si>
    <t>Марка провода перемычек</t>
  </si>
  <si>
    <t>Длительно допустимый ток перемычек</t>
  </si>
  <si>
    <t>Номинальный ток плавкой вставки</t>
  </si>
  <si>
    <t>плиты</t>
  </si>
  <si>
    <t>Элитность дома</t>
  </si>
  <si>
    <t>Сечение, мм2</t>
  </si>
  <si>
    <t>Прокладка, число жил</t>
  </si>
  <si>
    <t>Длина, м</t>
  </si>
  <si>
    <t>Материал</t>
  </si>
  <si>
    <t>Коэф. мощности потребителя</t>
  </si>
  <si>
    <t>Ток, а</t>
  </si>
  <si>
    <t>Рабочее напряжение, В</t>
  </si>
  <si>
    <t>Потеря напряжения от номинального</t>
  </si>
  <si>
    <t>Iдд, а</t>
  </si>
  <si>
    <t>%</t>
  </si>
  <si>
    <t>В</t>
  </si>
  <si>
    <t>№</t>
  </si>
  <si>
    <t>Сечение</t>
  </si>
  <si>
    <t>Ток, А, для проводов, проложенных</t>
  </si>
  <si>
    <t xml:space="preserve">токопроводящей </t>
  </si>
  <si>
    <t>открыто</t>
  </si>
  <si>
    <t>в одной трубе</t>
  </si>
  <si>
    <t>двухжильных</t>
  </si>
  <si>
    <t>трехжильных</t>
  </si>
  <si>
    <t>сопротивление</t>
  </si>
  <si>
    <t>токопроводящей</t>
  </si>
  <si>
    <t>Индуктивное сопротивление</t>
  </si>
  <si>
    <t>двух одно-жильных</t>
  </si>
  <si>
    <t>трех одно-жильных</t>
  </si>
  <si>
    <t>четырех одно-жильных</t>
  </si>
  <si>
    <t>одного двух-жильного</t>
  </si>
  <si>
    <t>одного трех-жильного</t>
  </si>
  <si>
    <t>при 20С  Ом/км</t>
  </si>
  <si>
    <t>одногодвух-жильного</t>
  </si>
  <si>
    <t>при 20С  ОМ/км</t>
  </si>
  <si>
    <t>открыто ОМ/км</t>
  </si>
  <si>
    <t>в трубе ОМ/км</t>
  </si>
  <si>
    <t>в воздухе</t>
  </si>
  <si>
    <t>в земле</t>
  </si>
  <si>
    <t>нет</t>
  </si>
  <si>
    <t>-</t>
  </si>
  <si>
    <t>в воздухе одножильного</t>
  </si>
  <si>
    <t>алюминий</t>
  </si>
  <si>
    <t>в трубе 2-х одно-жильных</t>
  </si>
  <si>
    <t>медь</t>
  </si>
  <si>
    <t>в трубе 3-х одно-жильных</t>
  </si>
  <si>
    <t>в трубе 4-х одно-жильных</t>
  </si>
  <si>
    <t>в трубе 1-го 2-жильного</t>
  </si>
  <si>
    <t>в трубе 1-го 3-жильного</t>
  </si>
  <si>
    <t>в воздухе 2-х жильного</t>
  </si>
  <si>
    <t>в земле 2-х жильного</t>
  </si>
  <si>
    <t>в воздухе 3-х жильного</t>
  </si>
  <si>
    <t>в земле 3-х жильного</t>
  </si>
  <si>
    <t>Ток *, А, для проводов и кабелей</t>
  </si>
  <si>
    <t>Ток, А, для кабелей</t>
  </si>
  <si>
    <t>одножильных</t>
  </si>
  <si>
    <t>при прокладке</t>
  </si>
  <si>
    <t>* Токи относятся к проводам и кабелям как с нулевой жилой, так и без нее.</t>
  </si>
  <si>
    <t>Примечание. Допустимые длительные токи для четырехжильных кабелей с пластмассовой изоляцией на напряжение до 1 кВ могут выбираться по табл. 1.3.7, как для трехжильных кабелей, но с коэффициентом 0,92.</t>
  </si>
  <si>
    <r>
      <t xml:space="preserve">Таблица 1.3.4. Допустимый длительный ток для проводов и шнуров с резиновой и поливинилхлоридной изоляцией с </t>
    </r>
    <r>
      <rPr>
        <b/>
        <sz val="14"/>
        <color indexed="10"/>
        <rFont val="Times New Roman"/>
        <family val="1"/>
      </rPr>
      <t>медными</t>
    </r>
    <r>
      <rPr>
        <b/>
        <sz val="10"/>
        <rFont val="Times New Roman"/>
        <family val="1"/>
      </rPr>
      <t xml:space="preserve"> жилами</t>
    </r>
  </si>
  <si>
    <r>
      <t xml:space="preserve">Таблица 1.3.6. Допустимый длительный ток для проводов с медными жилами с резиновой изоляцией в металлических защитных оболочках и кабелей с </t>
    </r>
    <r>
      <rPr>
        <b/>
        <sz val="14"/>
        <color indexed="10"/>
        <rFont val="Times New Roman"/>
        <family val="1"/>
      </rPr>
      <t>медными</t>
    </r>
    <r>
      <rPr>
        <b/>
        <sz val="10"/>
        <rFont val="Times New Roman"/>
        <family val="1"/>
      </rPr>
      <t xml:space="preserve"> жилами с резиновой изоляцией в свинцовой, поливинилхлоридной, найритовой или резиновой оболочке, бронированных и небронированных</t>
    </r>
  </si>
  <si>
    <r>
      <t xml:space="preserve">Таблица 1.3.5. Допустимый длительный ток для проводов с резиновой и поливинилхлоридной изоляцией с </t>
    </r>
    <r>
      <rPr>
        <b/>
        <sz val="14"/>
        <color indexed="10"/>
        <rFont val="Times New Roman"/>
        <family val="1"/>
      </rPr>
      <t>алюминиевыми</t>
    </r>
    <r>
      <rPr>
        <b/>
        <sz val="10"/>
        <rFont val="Times New Roman"/>
        <family val="1"/>
      </rPr>
      <t xml:space="preserve"> жилами</t>
    </r>
  </si>
  <si>
    <r>
      <t>жилы, мм</t>
    </r>
    <r>
      <rPr>
        <vertAlign val="superscript"/>
        <sz val="10"/>
        <rFont val="Times New Roman"/>
        <family val="1"/>
      </rPr>
      <t>2</t>
    </r>
  </si>
  <si>
    <r>
      <t xml:space="preserve">Таблица 1.3.7. Допустимый длительный ток для кабелей с </t>
    </r>
    <r>
      <rPr>
        <b/>
        <sz val="14"/>
        <color indexed="10"/>
        <rFont val="Times New Roman"/>
        <family val="1"/>
      </rPr>
      <t>алюминиевыми</t>
    </r>
    <r>
      <rPr>
        <b/>
        <sz val="10"/>
        <rFont val="Times New Roman"/>
        <family val="1"/>
      </rPr>
      <t xml:space="preserve"> жилами с резиновой или пластмассовой изоляцией в свинцовой, поливинилхлоридной и резиновой оболочках, бронированных и небронированных</t>
    </r>
  </si>
  <si>
    <t>а-(Х-А)*(а-в)/(В-А)</t>
  </si>
  <si>
    <t>Освещение</t>
  </si>
  <si>
    <t>Коэф. Спроса</t>
  </si>
  <si>
    <t>Зависимость Коэф. Спроса</t>
  </si>
  <si>
    <t>Мощность установленная</t>
  </si>
  <si>
    <t>Соs u</t>
  </si>
  <si>
    <t>Расч ток</t>
  </si>
  <si>
    <t>Расч мощность</t>
  </si>
  <si>
    <t>А</t>
  </si>
  <si>
    <t>Б</t>
  </si>
  <si>
    <t>а</t>
  </si>
  <si>
    <t>б</t>
  </si>
  <si>
    <t>Количество</t>
  </si>
  <si>
    <t>Приемник №1</t>
  </si>
  <si>
    <t>Мощность Р</t>
  </si>
  <si>
    <t>cos u</t>
  </si>
  <si>
    <t>Q</t>
  </si>
  <si>
    <t>S</t>
  </si>
  <si>
    <t>Приемник №2</t>
  </si>
  <si>
    <t>Сумма</t>
  </si>
  <si>
    <t>ТОК</t>
  </si>
  <si>
    <t>ЛН</t>
  </si>
  <si>
    <t>ЛЛ</t>
  </si>
  <si>
    <t xml:space="preserve"> </t>
  </si>
  <si>
    <t>Pуд</t>
  </si>
  <si>
    <t>Pрасч.</t>
  </si>
  <si>
    <t>I расч.</t>
  </si>
  <si>
    <t>ГАЗОВЫЕ ПЛИТЫ</t>
  </si>
  <si>
    <t>ЭЛЕКТРО ПЛИТЫ</t>
  </si>
  <si>
    <t>Лампа накал.</t>
  </si>
  <si>
    <t>Лампа Люм.</t>
  </si>
  <si>
    <t>∑ нагрузки</t>
  </si>
  <si>
    <t>Лифты</t>
  </si>
  <si>
    <t>Для
1 фазной сети</t>
  </si>
  <si>
    <t>Для
3-х фазной сети</t>
  </si>
  <si>
    <t>Pном</t>
  </si>
  <si>
    <t>ЭЛ</t>
  </si>
  <si>
    <t>Тип оборудования</t>
  </si>
  <si>
    <t>марка      двигателя</t>
  </si>
  <si>
    <t>мощность Рн</t>
  </si>
  <si>
    <t>ток ном. Iн</t>
  </si>
  <si>
    <t>cos</t>
  </si>
  <si>
    <t>КПД</t>
  </si>
  <si>
    <t>Кп</t>
  </si>
  <si>
    <t>ток пуск. Iпуск</t>
  </si>
  <si>
    <t>частота об\мин</t>
  </si>
  <si>
    <t>tg(ф)</t>
  </si>
  <si>
    <t>НЕТ</t>
  </si>
  <si>
    <t>Насосы серии КМЛ(Ш):</t>
  </si>
  <si>
    <t>КМЛ 50-125/2</t>
  </si>
  <si>
    <t>4А80B2У3</t>
  </si>
  <si>
    <t>КМЛ 50-125а/2</t>
  </si>
  <si>
    <t>4А80A2У3</t>
  </si>
  <si>
    <t>КМЛ 65-125/2</t>
  </si>
  <si>
    <t>КМЛ 65-160/2</t>
  </si>
  <si>
    <t>4А100L2У3</t>
  </si>
  <si>
    <t>КМЛ 65-160а/2</t>
  </si>
  <si>
    <t>4А100S2У3</t>
  </si>
  <si>
    <t>КМЛ 65-160б/2</t>
  </si>
  <si>
    <t>4А90L2У3</t>
  </si>
  <si>
    <t>КМЛ 80-160/2</t>
  </si>
  <si>
    <t>4А112M2У3</t>
  </si>
  <si>
    <t>КМЛ 80-160а/2</t>
  </si>
  <si>
    <t>КМЛ 80-160б/2</t>
  </si>
  <si>
    <t>Насосы серии КМ:</t>
  </si>
  <si>
    <t>КМ 50-32-125</t>
  </si>
  <si>
    <t>АИР80B2ЖОМ2</t>
  </si>
  <si>
    <t>КМ 65-50-125</t>
  </si>
  <si>
    <t>АИР100S2ЖОМ2</t>
  </si>
  <si>
    <t>КМ 65-50-160</t>
  </si>
  <si>
    <t>АИР100L2ЖОМ2</t>
  </si>
  <si>
    <t>КМ 80-65-160</t>
  </si>
  <si>
    <t>АИРМ112M2ЖУ3</t>
  </si>
  <si>
    <t>КМ 80-50-200</t>
  </si>
  <si>
    <t>АИР160S2ЖУ2</t>
  </si>
  <si>
    <t>КМ 100-65-200</t>
  </si>
  <si>
    <t>АИР180M2ЖУ2</t>
  </si>
  <si>
    <t>КМ 100-80-160</t>
  </si>
  <si>
    <t>КМ 150-125-250</t>
  </si>
  <si>
    <t>АИР160M4ЖУ2</t>
  </si>
  <si>
    <t>Насосы серии НМШ:</t>
  </si>
  <si>
    <t>НМШФ 08-25-0,63</t>
  </si>
  <si>
    <t>АИР80А4</t>
  </si>
  <si>
    <t>Насосы серии ВК:</t>
  </si>
  <si>
    <t>ВК 1/16</t>
  </si>
  <si>
    <t>АИР80B4</t>
  </si>
  <si>
    <t>ВК 4/28</t>
  </si>
  <si>
    <t>АИР132S4</t>
  </si>
  <si>
    <t>Насосы серии UPS:</t>
  </si>
  <si>
    <t>UPS 32-120F</t>
  </si>
  <si>
    <t>UPS</t>
  </si>
  <si>
    <t>Дымососы серии Дн:</t>
  </si>
  <si>
    <t>Дн 2,5</t>
  </si>
  <si>
    <t>4А80A4У3</t>
  </si>
  <si>
    <t>Дн 3,5</t>
  </si>
  <si>
    <t>4А100S4У3</t>
  </si>
  <si>
    <t>Дн 6,3 (16 лопаток)</t>
  </si>
  <si>
    <t>4А132М6У3</t>
  </si>
  <si>
    <t>Дн 6,3 (32 лопаток)</t>
  </si>
  <si>
    <t>Вентиляторы серии ВЦ:</t>
  </si>
  <si>
    <t>ВЦ 14-46-2,5 КВД</t>
  </si>
  <si>
    <t>АИР80B2</t>
  </si>
  <si>
    <t>ВЦ 14-46-2,5 ТВЕу</t>
  </si>
  <si>
    <t>АИР100L2</t>
  </si>
  <si>
    <t>ВЦ 14-46-4 ТВЕу</t>
  </si>
  <si>
    <t>АИР132M6</t>
  </si>
  <si>
    <t>ВЦ 14-46-6,3 ТВЕу</t>
  </si>
  <si>
    <t>АИР160M8</t>
  </si>
  <si>
    <t>Вентиляторы серии ВОК:</t>
  </si>
  <si>
    <t>ВОК-8-4</t>
  </si>
  <si>
    <t>RA100LB4T2</t>
  </si>
  <si>
    <t>ВОК-10-4</t>
  </si>
  <si>
    <t>RA112М4T2</t>
  </si>
  <si>
    <t>ВОК-12-2</t>
  </si>
  <si>
    <t>ВОК-12-4</t>
  </si>
  <si>
    <t>Устр-ва подачи топлива:</t>
  </si>
  <si>
    <t>Шнек КВД</t>
  </si>
  <si>
    <t>4А100L6У3</t>
  </si>
  <si>
    <t>Рыхлители:</t>
  </si>
  <si>
    <t>Рыхлитель КВД</t>
  </si>
  <si>
    <t>Транспортеры:</t>
  </si>
  <si>
    <t>1,5кВт 1000об/мин</t>
  </si>
  <si>
    <t>4А90L6У3</t>
  </si>
  <si>
    <t>2,2кВт 1000об/мин</t>
  </si>
  <si>
    <t>Дымоудаление:</t>
  </si>
  <si>
    <t>Дв. W=4,5 кВт, I=11,3 А</t>
  </si>
  <si>
    <t>Дв. W=3,55 кВт, I=10 А</t>
  </si>
  <si>
    <t>Дв. W=4,5 кВт, I=15,9 А</t>
  </si>
  <si>
    <t>Дв. W=3,55 кВт, I=15,9 А</t>
  </si>
  <si>
    <t>Лифты пассажирские:</t>
  </si>
  <si>
    <t>Лифты грузовые:</t>
  </si>
  <si>
    <t>Дв. W=5,0 кВт, I=14,1 А</t>
  </si>
  <si>
    <t>Дв. W=2,2 кВт, I=5,6 А</t>
  </si>
  <si>
    <t>Дв. W=7,5 кВт, I=16,35 А</t>
  </si>
  <si>
    <t>Дв. W=15 кВт, I=42,25 А</t>
  </si>
  <si>
    <t>Квартиры</t>
  </si>
  <si>
    <t>ДУ</t>
  </si>
  <si>
    <t>Другие</t>
  </si>
  <si>
    <t>№
п/п</t>
  </si>
  <si>
    <t>Число лифтовых установок</t>
  </si>
  <si>
    <r>
      <t>К</t>
    </r>
    <r>
      <rPr>
        <b/>
        <sz val="8"/>
        <rFont val="Arial Cyr"/>
        <family val="0"/>
      </rPr>
      <t>с.л.</t>
    </r>
    <r>
      <rPr>
        <b/>
        <sz val="10"/>
        <rFont val="Arial Cyr"/>
        <family val="0"/>
      </rPr>
      <t xml:space="preserve"> для домов высотой, этажей</t>
    </r>
  </si>
  <si>
    <t>до 12</t>
  </si>
  <si>
    <t>12 и св.</t>
  </si>
  <si>
    <t>Расчетная нагрузка</t>
  </si>
  <si>
    <r>
      <t>Коэффициент
спроса К</t>
    </r>
    <r>
      <rPr>
        <b/>
        <sz val="8"/>
        <rFont val="Arial Cyr"/>
        <family val="0"/>
      </rPr>
      <t>с.</t>
    </r>
  </si>
  <si>
    <t>До      5 кВт</t>
  </si>
  <si>
    <t>Св.     5   до    10 кВт</t>
  </si>
  <si>
    <t>Св.   10   до    15 кВт</t>
  </si>
  <si>
    <t>Св.   15   до    25 кВт</t>
  </si>
  <si>
    <t>Св.   25   до    50 кВт</t>
  </si>
  <si>
    <t>Св.   50   до  100 кВт</t>
  </si>
  <si>
    <t>Св. 100   до  200 кВт</t>
  </si>
  <si>
    <r>
      <t>Свыше   ----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200 кВт</t>
    </r>
  </si>
  <si>
    <r>
      <t xml:space="preserve">Расчетная нагрузка питающих линий, вводов и
на шинах РУ-0,4 кВ ТП от общего освещения общежитий коридорного типа определяется с учетом коэффициента спроса Кс, принимаемого в зависимости от установ-ной мощности светильников </t>
    </r>
    <r>
      <rPr>
        <i/>
        <sz val="9"/>
        <rFont val="Arial"/>
        <family val="2"/>
      </rPr>
      <t>P</t>
    </r>
    <r>
      <rPr>
        <sz val="9"/>
        <rFont val="Arial"/>
        <family val="2"/>
      </rPr>
      <t>у приведенной в таблице.</t>
    </r>
  </si>
  <si>
    <t>Расчетная нагрузка линии питания лифтовых установок определяется с учетом коэффициента спроса Кс.л, принимаемого в зависимости от количества лифтовых установок и этажности
зданий приведенной в таблице.</t>
  </si>
  <si>
    <t>Примечание:
Коэффициент спроса для числа лифтовых установок,
не указаных в таблице, определяется интерполяцией.</t>
  </si>
  <si>
    <t>Этажность дома</t>
  </si>
  <si>
    <t>Количество лифтов №1</t>
  </si>
  <si>
    <t>Количество лифтов №2</t>
  </si>
  <si>
    <t>ЛИФТЫ №1</t>
  </si>
  <si>
    <t>ЛИФТЫ №2</t>
  </si>
  <si>
    <t>Количество эл. Пр-ков</t>
  </si>
  <si>
    <t>Электроприемник</t>
  </si>
  <si>
    <t>Cos u</t>
  </si>
  <si>
    <t>Итого по ВРУ</t>
  </si>
  <si>
    <t>Дв. W=5,0 кВт, I=13,0 А</t>
  </si>
  <si>
    <t>Дв. W=7,5 кВт, I=13,55 А</t>
  </si>
  <si>
    <t>Дв. W=5,0 кВт, I=13,7 А</t>
  </si>
  <si>
    <t>Дв. W=7,0 кВт, I=16,21 А</t>
  </si>
  <si>
    <t>Коэф. спроса</t>
  </si>
  <si>
    <t>Дв. W=3,0 кВт, I=10,0 А</t>
  </si>
  <si>
    <t>Неравномерность нагрузки, %</t>
  </si>
  <si>
    <t>Количество этажей</t>
  </si>
  <si>
    <t>Количество квартир на 1 этаже</t>
  </si>
  <si>
    <t>Количество подъездов</t>
  </si>
  <si>
    <t>Количество квартир на следующих этажах</t>
  </si>
  <si>
    <t>Дв. W=3,55 кВт, I=10,7 А</t>
  </si>
  <si>
    <t>Трансформатор</t>
  </si>
  <si>
    <t>Сечение,
мм2</t>
  </si>
  <si>
    <t>I к.з, 1ф</t>
  </si>
  <si>
    <t>I к.з, 2ф</t>
  </si>
  <si>
    <t>I к.з, 3ф</t>
  </si>
  <si>
    <t>№ участка 
сети</t>
  </si>
  <si>
    <t>Тип</t>
  </si>
  <si>
    <t>1,5х1,5</t>
  </si>
  <si>
    <t>2,5х2,5</t>
  </si>
  <si>
    <t>4,0х4,0</t>
  </si>
  <si>
    <t>6,0х6,0</t>
  </si>
  <si>
    <t>10,0х10,0</t>
  </si>
  <si>
    <t>16,0х16,0</t>
  </si>
  <si>
    <t>25,0х25,0</t>
  </si>
  <si>
    <t>35,0х35,0</t>
  </si>
  <si>
    <t>50,0х50,0</t>
  </si>
  <si>
    <t>50,0х25,0</t>
  </si>
  <si>
    <t>70,0х70,0</t>
  </si>
  <si>
    <t>70,0х35,0</t>
  </si>
  <si>
    <t>95,0х95,0</t>
  </si>
  <si>
    <t>95,0х50,0</t>
  </si>
  <si>
    <t>Медные</t>
  </si>
  <si>
    <t>Алюминиевые</t>
  </si>
  <si>
    <t>185х185</t>
  </si>
  <si>
    <t>185х95</t>
  </si>
  <si>
    <r>
      <t>Кабель и провода
в трубах, r</t>
    </r>
    <r>
      <rPr>
        <b/>
        <sz val="8"/>
        <rFont val="Arial"/>
        <family val="2"/>
      </rPr>
      <t xml:space="preserve">o  </t>
    </r>
    <r>
      <rPr>
        <b/>
        <sz val="14"/>
        <rFont val="Arial"/>
        <family val="2"/>
      </rPr>
      <t>мОм/М</t>
    </r>
  </si>
  <si>
    <t>Кабель и провода
в трубах, Xo  мОм/М</t>
  </si>
  <si>
    <t>150,0х150</t>
  </si>
  <si>
    <t>120,0х70</t>
  </si>
  <si>
    <t>120,0х120</t>
  </si>
  <si>
    <t>150,х70</t>
  </si>
  <si>
    <t>Сечение провода, мм2</t>
  </si>
  <si>
    <t>2*185х185</t>
  </si>
  <si>
    <t>2*185х2*185</t>
  </si>
  <si>
    <t>2*185</t>
  </si>
  <si>
    <t>ZТ1, (мОм)</t>
  </si>
  <si>
    <t>ZТ, (мОм)</t>
  </si>
  <si>
    <t>x,(мОм)</t>
  </si>
  <si>
    <t>r,(мОм)</t>
  </si>
  <si>
    <t>r,(мОм/м)</t>
  </si>
  <si>
    <t>x,(мОм/м)</t>
  </si>
  <si>
    <t>rп,(мОм/м)</t>
  </si>
  <si>
    <t>xп,(мОм/м)</t>
  </si>
  <si>
    <t>400 кВ*А Y/Yн</t>
  </si>
  <si>
    <t>400 кВ*А Д/Yн</t>
  </si>
  <si>
    <t>630 кВ*А Y/Yн</t>
  </si>
  <si>
    <t>1000 кВ*А Y/Yн</t>
  </si>
  <si>
    <t>1600 кВ*А Y/Yн</t>
  </si>
  <si>
    <t>630 кВ*А Д/Yн</t>
  </si>
  <si>
    <t>1000 кВ*А Д/Yн</t>
  </si>
  <si>
    <t>1600 кВ*А Д/Yн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</si>
</sst>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0000"/>
    <numFmt numFmtId="177" formatCode="0.00000000"/>
    <numFmt numFmtId="178" formatCode="0.000"/>
    <numFmt numFmtId="179" formatCode="0.0"/>
    <numFmt numFmtId="180" formatCode="0.0%"/>
    <numFmt numFmtId="181" formatCode="0.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Arial"/>
      <family val="0"/>
    </font>
    <font>
      <sz val="8"/>
      <name val="Tahoma"/>
      <family val="2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9"/>
      <name val="Arial"/>
      <family val="2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34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7"/>
      <name val="Arial Narrow"/>
      <family val="2"/>
    </font>
    <font>
      <b/>
      <sz val="10"/>
      <color indexed="13"/>
      <name val="Arial"/>
      <family val="2"/>
    </font>
    <font>
      <b/>
      <sz val="6"/>
      <name val="Arial"/>
      <family val="2"/>
    </font>
    <font>
      <b/>
      <sz val="12"/>
      <color indexed="16"/>
      <name val="GOST type A"/>
      <family val="2"/>
    </font>
    <font>
      <sz val="14"/>
      <name val="GOST type A"/>
      <family val="2"/>
    </font>
    <font>
      <sz val="14"/>
      <color indexed="16"/>
      <name val="GOST type A"/>
      <family val="2"/>
    </font>
    <font>
      <sz val="14"/>
      <color indexed="12"/>
      <name val="GOST type A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i/>
      <sz val="9"/>
      <name val="Arial"/>
      <family val="2"/>
    </font>
    <font>
      <sz val="10"/>
      <name val="Arial Cyr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2" fontId="1" fillId="5" borderId="7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left" vertical="top" wrapText="1"/>
    </xf>
    <xf numFmtId="0" fontId="1" fillId="6" borderId="10" xfId="0" applyNumberFormat="1" applyFont="1" applyFill="1" applyBorder="1" applyAlignment="1">
      <alignment horizontal="center" vertical="top" wrapText="1"/>
    </xf>
    <xf numFmtId="0" fontId="0" fillId="6" borderId="0" xfId="0" applyFill="1" applyAlignment="1">
      <alignment/>
    </xf>
    <xf numFmtId="0" fontId="1" fillId="4" borderId="3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2" fontId="1" fillId="5" borderId="3" xfId="0" applyNumberFormat="1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7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8" borderId="12" xfId="0" applyFill="1" applyBorder="1" applyAlignment="1">
      <alignment/>
    </xf>
    <xf numFmtId="0" fontId="0" fillId="7" borderId="12" xfId="0" applyFill="1" applyBorder="1" applyAlignment="1">
      <alignment/>
    </xf>
    <xf numFmtId="0" fontId="0" fillId="0" borderId="0" xfId="0" applyFill="1" applyBorder="1" applyAlignment="1">
      <alignment/>
    </xf>
    <xf numFmtId="2" fontId="0" fillId="5" borderId="2" xfId="0" applyNumberFormat="1" applyFill="1" applyBorder="1" applyAlignment="1">
      <alignment/>
    </xf>
    <xf numFmtId="0" fontId="0" fillId="9" borderId="10" xfId="0" applyFill="1" applyBorder="1" applyAlignment="1">
      <alignment/>
    </xf>
    <xf numFmtId="0" fontId="0" fillId="9" borderId="0" xfId="0" applyFill="1" applyBorder="1" applyAlignment="1">
      <alignment/>
    </xf>
    <xf numFmtId="2" fontId="0" fillId="9" borderId="8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10" borderId="13" xfId="0" applyNumberFormat="1" applyFill="1" applyBorder="1" applyAlignment="1">
      <alignment horizontal="right" vertical="center"/>
    </xf>
    <xf numFmtId="2" fontId="0" fillId="10" borderId="14" xfId="0" applyNumberFormat="1" applyFill="1" applyBorder="1" applyAlignment="1">
      <alignment horizontal="right" vertical="center"/>
    </xf>
    <xf numFmtId="2" fontId="0" fillId="3" borderId="15" xfId="0" applyNumberFormat="1" applyFill="1" applyBorder="1" applyAlignment="1">
      <alignment/>
    </xf>
    <xf numFmtId="0" fontId="19" fillId="5" borderId="16" xfId="0" applyFont="1" applyFill="1" applyBorder="1" applyAlignment="1">
      <alignment horizontal="center"/>
    </xf>
    <xf numFmtId="2" fontId="0" fillId="11" borderId="17" xfId="0" applyNumberFormat="1" applyFill="1" applyBorder="1" applyAlignment="1">
      <alignment horizontal="right"/>
    </xf>
    <xf numFmtId="178" fontId="0" fillId="11" borderId="17" xfId="0" applyNumberFormat="1" applyFill="1" applyBorder="1" applyAlignment="1">
      <alignment horizontal="right"/>
    </xf>
    <xf numFmtId="178" fontId="0" fillId="12" borderId="17" xfId="0" applyNumberFormat="1" applyFill="1" applyBorder="1" applyAlignment="1">
      <alignment horizontal="right"/>
    </xf>
    <xf numFmtId="178" fontId="13" fillId="13" borderId="17" xfId="0" applyNumberFormat="1" applyFont="1" applyFill="1" applyBorder="1" applyAlignment="1">
      <alignment horizontal="right"/>
    </xf>
    <xf numFmtId="178" fontId="13" fillId="12" borderId="18" xfId="0" applyNumberFormat="1" applyFont="1" applyFill="1" applyBorder="1" applyAlignment="1">
      <alignment horizontal="right"/>
    </xf>
    <xf numFmtId="0" fontId="12" fillId="14" borderId="17" xfId="0" applyFont="1" applyFill="1" applyBorder="1" applyAlignment="1">
      <alignment horizontal="center"/>
    </xf>
    <xf numFmtId="0" fontId="0" fillId="11" borderId="17" xfId="0" applyFill="1" applyBorder="1" applyAlignment="1">
      <alignment horizontal="right"/>
    </xf>
    <xf numFmtId="2" fontId="0" fillId="5" borderId="19" xfId="0" applyNumberFormat="1" applyFill="1" applyBorder="1" applyAlignment="1">
      <alignment/>
    </xf>
    <xf numFmtId="0" fontId="0" fillId="15" borderId="16" xfId="0" applyFill="1" applyBorder="1" applyAlignment="1">
      <alignment/>
    </xf>
    <xf numFmtId="0" fontId="19" fillId="5" borderId="20" xfId="0" applyFont="1" applyFill="1" applyBorder="1" applyAlignment="1">
      <alignment horizontal="center"/>
    </xf>
    <xf numFmtId="178" fontId="12" fillId="14" borderId="21" xfId="0" applyNumberFormat="1" applyFont="1" applyFill="1" applyBorder="1" applyAlignment="1">
      <alignment horizontal="center"/>
    </xf>
    <xf numFmtId="178" fontId="12" fillId="14" borderId="22" xfId="0" applyNumberFormat="1" applyFont="1" applyFill="1" applyBorder="1" applyAlignment="1">
      <alignment horizontal="center"/>
    </xf>
    <xf numFmtId="178" fontId="12" fillId="14" borderId="23" xfId="0" applyNumberFormat="1" applyFont="1" applyFill="1" applyBorder="1" applyAlignment="1">
      <alignment horizontal="center"/>
    </xf>
    <xf numFmtId="178" fontId="18" fillId="16" borderId="2" xfId="0" applyNumberFormat="1" applyFont="1" applyFill="1" applyBorder="1" applyAlignment="1">
      <alignment horizontal="center"/>
    </xf>
    <xf numFmtId="0" fontId="0" fillId="9" borderId="24" xfId="0" applyFill="1" applyBorder="1" applyAlignment="1">
      <alignment/>
    </xf>
    <xf numFmtId="2" fontId="0" fillId="9" borderId="2" xfId="0" applyNumberFormat="1" applyFill="1" applyBorder="1" applyAlignment="1">
      <alignment/>
    </xf>
    <xf numFmtId="0" fontId="0" fillId="9" borderId="2" xfId="0" applyFill="1" applyBorder="1" applyAlignment="1">
      <alignment/>
    </xf>
    <xf numFmtId="49" fontId="25" fillId="10" borderId="25" xfId="0" applyNumberFormat="1" applyFont="1" applyFill="1" applyBorder="1" applyAlignment="1" applyProtection="1">
      <alignment horizontal="center" vertical="center"/>
      <protection hidden="1"/>
    </xf>
    <xf numFmtId="0" fontId="25" fillId="17" borderId="26" xfId="0" applyFont="1" applyFill="1" applyBorder="1" applyAlignment="1" applyProtection="1">
      <alignment horizontal="center" vertical="center"/>
      <protection hidden="1"/>
    </xf>
    <xf numFmtId="0" fontId="25" fillId="17" borderId="26" xfId="0" applyFont="1" applyFill="1" applyBorder="1" applyAlignment="1" applyProtection="1">
      <alignment horizontal="center" vertical="center" wrapText="1"/>
      <protection hidden="1"/>
    </xf>
    <xf numFmtId="0" fontId="25" fillId="9" borderId="26" xfId="0" applyFont="1" applyFill="1" applyBorder="1" applyAlignment="1" applyProtection="1">
      <alignment horizontal="center" vertical="center" wrapText="1"/>
      <protection hidden="1"/>
    </xf>
    <xf numFmtId="0" fontId="25" fillId="0" borderId="26" xfId="0" applyFont="1" applyBorder="1" applyAlignment="1" applyProtection="1">
      <alignment horizontal="center" vertical="center" wrapText="1"/>
      <protection hidden="1"/>
    </xf>
    <xf numFmtId="0" fontId="25" fillId="0" borderId="26" xfId="0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19" xfId="0" applyFont="1" applyBorder="1" applyAlignment="1" applyProtection="1">
      <alignment horizontal="center" vertical="center"/>
      <protection hidden="1"/>
    </xf>
    <xf numFmtId="0" fontId="26" fillId="17" borderId="27" xfId="0" applyFont="1" applyFill="1" applyBorder="1" applyAlignment="1" applyProtection="1">
      <alignment horizontal="center" vertical="center"/>
      <protection hidden="1"/>
    </xf>
    <xf numFmtId="0" fontId="27" fillId="17" borderId="27" xfId="0" applyFont="1" applyFill="1" applyBorder="1" applyAlignment="1" applyProtection="1">
      <alignment horizontal="center" vertical="center"/>
      <protection hidden="1"/>
    </xf>
    <xf numFmtId="179" fontId="27" fillId="17" borderId="27" xfId="0" applyNumberFormat="1" applyFont="1" applyFill="1" applyBorder="1" applyAlignment="1" applyProtection="1">
      <alignment horizontal="center" vertical="center"/>
      <protection hidden="1"/>
    </xf>
    <xf numFmtId="2" fontId="27" fillId="9" borderId="27" xfId="0" applyNumberFormat="1" applyFont="1" applyFill="1" applyBorder="1" applyAlignment="1" applyProtection="1">
      <alignment horizontal="center" vertical="center"/>
      <protection hidden="1"/>
    </xf>
    <xf numFmtId="2" fontId="27" fillId="0" borderId="27" xfId="0" applyNumberFormat="1" applyFont="1" applyBorder="1" applyAlignment="1" applyProtection="1">
      <alignment horizontal="center" vertical="center"/>
      <protection hidden="1"/>
    </xf>
    <xf numFmtId="0" fontId="28" fillId="17" borderId="2" xfId="0" applyFont="1" applyFill="1" applyBorder="1" applyAlignment="1" applyProtection="1">
      <alignment horizontal="center" vertical="center"/>
      <protection hidden="1"/>
    </xf>
    <xf numFmtId="0" fontId="27" fillId="17" borderId="2" xfId="0" applyFont="1" applyFill="1" applyBorder="1" applyAlignment="1" applyProtection="1">
      <alignment horizontal="center" vertical="center"/>
      <protection hidden="1"/>
    </xf>
    <xf numFmtId="179" fontId="27" fillId="17" borderId="2" xfId="0" applyNumberFormat="1" applyFont="1" applyFill="1" applyBorder="1" applyAlignment="1" applyProtection="1">
      <alignment horizontal="center" vertical="center"/>
      <protection hidden="1"/>
    </xf>
    <xf numFmtId="2" fontId="27" fillId="9" borderId="2" xfId="0" applyNumberFormat="1" applyFont="1" applyFill="1" applyBorder="1" applyAlignment="1" applyProtection="1">
      <alignment horizontal="center" vertical="center"/>
      <protection hidden="1"/>
    </xf>
    <xf numFmtId="2" fontId="27" fillId="0" borderId="2" xfId="0" applyNumberFormat="1" applyFont="1" applyBorder="1" applyAlignment="1" applyProtection="1">
      <alignment horizontal="center" vertical="center"/>
      <protection hidden="1"/>
    </xf>
    <xf numFmtId="0" fontId="26" fillId="17" borderId="2" xfId="0" applyFont="1" applyFill="1" applyBorder="1" applyAlignment="1" applyProtection="1">
      <alignment horizontal="center" vertical="center"/>
      <protection hidden="1"/>
    </xf>
    <xf numFmtId="179" fontId="26" fillId="17" borderId="2" xfId="0" applyNumberFormat="1" applyFont="1" applyFill="1" applyBorder="1" applyAlignment="1" applyProtection="1">
      <alignment horizontal="center" vertical="center"/>
      <protection hidden="1"/>
    </xf>
    <xf numFmtId="2" fontId="26" fillId="9" borderId="2" xfId="0" applyNumberFormat="1" applyFont="1" applyFill="1" applyBorder="1" applyAlignment="1" applyProtection="1">
      <alignment horizontal="center" vertical="center"/>
      <protection hidden="1"/>
    </xf>
    <xf numFmtId="2" fontId="26" fillId="0" borderId="2" xfId="0" applyNumberFormat="1" applyFont="1" applyBorder="1" applyAlignment="1" applyProtection="1">
      <alignment horizontal="center" vertical="center"/>
      <protection hidden="1"/>
    </xf>
    <xf numFmtId="0" fontId="28" fillId="17" borderId="2" xfId="0" applyFont="1" applyFill="1" applyBorder="1" applyAlignment="1" applyProtection="1">
      <alignment horizontal="center" vertical="center" wrapText="1"/>
      <protection hidden="1"/>
    </xf>
    <xf numFmtId="0" fontId="26" fillId="17" borderId="28" xfId="0" applyFont="1" applyFill="1" applyBorder="1" applyAlignment="1" applyProtection="1">
      <alignment horizontal="center" vertical="center"/>
      <protection hidden="1"/>
    </xf>
    <xf numFmtId="179" fontId="26" fillId="17" borderId="28" xfId="0" applyNumberFormat="1" applyFont="1" applyFill="1" applyBorder="1" applyAlignment="1" applyProtection="1">
      <alignment horizontal="center" vertical="center"/>
      <protection hidden="1"/>
    </xf>
    <xf numFmtId="2" fontId="26" fillId="9" borderId="28" xfId="0" applyNumberFormat="1" applyFont="1" applyFill="1" applyBorder="1" applyAlignment="1" applyProtection="1">
      <alignment horizontal="center" vertical="center"/>
      <protection hidden="1"/>
    </xf>
    <xf numFmtId="2" fontId="26" fillId="0" borderId="28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2" fontId="26" fillId="17" borderId="2" xfId="0" applyNumberFormat="1" applyFont="1" applyFill="1" applyBorder="1" applyAlignment="1" applyProtection="1">
      <alignment horizontal="center" vertical="center"/>
      <protection hidden="1"/>
    </xf>
    <xf numFmtId="10" fontId="27" fillId="17" borderId="27" xfId="19" applyNumberFormat="1" applyFont="1" applyFill="1" applyBorder="1" applyAlignment="1" applyProtection="1">
      <alignment horizontal="center" vertical="center"/>
      <protection hidden="1"/>
    </xf>
    <xf numFmtId="10" fontId="27" fillId="17" borderId="2" xfId="19" applyNumberFormat="1" applyFont="1" applyFill="1" applyBorder="1" applyAlignment="1" applyProtection="1">
      <alignment horizontal="center" vertical="center"/>
      <protection hidden="1"/>
    </xf>
    <xf numFmtId="10" fontId="26" fillId="17" borderId="2" xfId="19" applyNumberFormat="1" applyFont="1" applyFill="1" applyBorder="1" applyAlignment="1" applyProtection="1">
      <alignment horizontal="center" vertical="center"/>
      <protection hidden="1"/>
    </xf>
    <xf numFmtId="10" fontId="26" fillId="17" borderId="28" xfId="19" applyNumberFormat="1" applyFont="1" applyFill="1" applyBorder="1" applyAlignment="1" applyProtection="1">
      <alignment horizontal="center" vertical="center"/>
      <protection hidden="1"/>
    </xf>
    <xf numFmtId="0" fontId="18" fillId="11" borderId="29" xfId="0" applyFont="1" applyFill="1" applyBorder="1" applyAlignment="1">
      <alignment horizontal="center"/>
    </xf>
    <xf numFmtId="0" fontId="18" fillId="11" borderId="30" xfId="0" applyFont="1" applyFill="1" applyBorder="1" applyAlignment="1">
      <alignment horizontal="center"/>
    </xf>
    <xf numFmtId="0" fontId="18" fillId="9" borderId="3" xfId="0" applyFont="1" applyFill="1" applyBorder="1" applyAlignment="1">
      <alignment horizontal="center"/>
    </xf>
    <xf numFmtId="0" fontId="0" fillId="9" borderId="3" xfId="0" applyFill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2" fontId="0" fillId="15" borderId="16" xfId="0" applyNumberFormat="1" applyFill="1" applyBorder="1" applyAlignment="1">
      <alignment/>
    </xf>
    <xf numFmtId="2" fontId="18" fillId="18" borderId="2" xfId="0" applyNumberFormat="1" applyFont="1" applyFill="1" applyBorder="1" applyAlignment="1">
      <alignment/>
    </xf>
    <xf numFmtId="0" fontId="0" fillId="9" borderId="4" xfId="0" applyFill="1" applyBorder="1" applyAlignment="1">
      <alignment/>
    </xf>
    <xf numFmtId="2" fontId="0" fillId="10" borderId="32" xfId="0" applyNumberFormat="1" applyFill="1" applyBorder="1" applyAlignment="1">
      <alignment horizontal="right" vertical="center"/>
    </xf>
    <xf numFmtId="2" fontId="0" fillId="12" borderId="2" xfId="0" applyNumberFormat="1" applyFill="1" applyBorder="1" applyAlignment="1">
      <alignment/>
    </xf>
    <xf numFmtId="0" fontId="18" fillId="17" borderId="2" xfId="0" applyFont="1" applyFill="1" applyBorder="1" applyAlignment="1" applyProtection="1">
      <alignment/>
      <protection/>
    </xf>
    <xf numFmtId="2" fontId="18" fillId="5" borderId="2" xfId="0" applyNumberFormat="1" applyFont="1" applyFill="1" applyBorder="1" applyAlignment="1" applyProtection="1">
      <alignment/>
      <protection/>
    </xf>
    <xf numFmtId="0" fontId="23" fillId="7" borderId="2" xfId="0" applyFont="1" applyFill="1" applyBorder="1" applyAlignment="1" applyProtection="1">
      <alignment/>
      <protection/>
    </xf>
    <xf numFmtId="0" fontId="0" fillId="11" borderId="2" xfId="0" applyFill="1" applyBorder="1" applyAlignment="1" applyProtection="1">
      <alignment/>
      <protection/>
    </xf>
    <xf numFmtId="0" fontId="18" fillId="19" borderId="2" xfId="0" applyFont="1" applyFill="1" applyBorder="1" applyAlignment="1" applyProtection="1">
      <alignment/>
      <protection/>
    </xf>
    <xf numFmtId="1" fontId="18" fillId="20" borderId="14" xfId="0" applyNumberFormat="1" applyFont="1" applyFill="1" applyBorder="1" applyAlignment="1" applyProtection="1">
      <alignment horizontal="right" vertical="center"/>
      <protection locked="0"/>
    </xf>
    <xf numFmtId="1" fontId="18" fillId="20" borderId="31" xfId="0" applyNumberFormat="1" applyFont="1" applyFill="1" applyBorder="1" applyAlignment="1" applyProtection="1">
      <alignment horizontal="center" vertical="center"/>
      <protection locked="0"/>
    </xf>
    <xf numFmtId="2" fontId="0" fillId="10" borderId="13" xfId="0" applyNumberFormat="1" applyFill="1" applyBorder="1" applyAlignment="1" applyProtection="1">
      <alignment horizontal="righ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2" fontId="0" fillId="20" borderId="13" xfId="0" applyNumberFormat="1" applyFill="1" applyBorder="1" applyAlignment="1" applyProtection="1">
      <alignment horizontal="right" vertical="center"/>
      <protection locked="0"/>
    </xf>
    <xf numFmtId="0" fontId="0" fillId="5" borderId="12" xfId="0" applyFill="1" applyBorder="1" applyAlignment="1" applyProtection="1">
      <alignment horizontal="right" vertical="center"/>
      <protection locked="0"/>
    </xf>
    <xf numFmtId="0" fontId="0" fillId="5" borderId="5" xfId="0" applyFill="1" applyBorder="1" applyAlignment="1" applyProtection="1">
      <alignment horizontal="right" vertical="center"/>
      <protection locked="0"/>
    </xf>
    <xf numFmtId="2" fontId="0" fillId="13" borderId="33" xfId="0" applyNumberFormat="1" applyFill="1" applyBorder="1" applyAlignment="1" applyProtection="1">
      <alignment/>
      <protection locked="0"/>
    </xf>
    <xf numFmtId="0" fontId="0" fillId="9" borderId="0" xfId="0" applyFill="1" applyAlignment="1">
      <alignment/>
    </xf>
    <xf numFmtId="0" fontId="3" fillId="9" borderId="34" xfId="0" applyFont="1" applyFill="1" applyBorder="1" applyAlignment="1">
      <alignment horizontal="center" vertical="top" wrapText="1"/>
    </xf>
    <xf numFmtId="0" fontId="1" fillId="9" borderId="35" xfId="0" applyFont="1" applyFill="1" applyBorder="1" applyAlignment="1">
      <alignment horizontal="center" vertical="top" wrapText="1"/>
    </xf>
    <xf numFmtId="0" fontId="1" fillId="9" borderId="36" xfId="0" applyFont="1" applyFill="1" applyBorder="1" applyAlignment="1">
      <alignment horizontal="center" vertical="top" wrapText="1"/>
    </xf>
    <xf numFmtId="0" fontId="1" fillId="9" borderId="0" xfId="0" applyFont="1" applyFill="1" applyAlignment="1">
      <alignment/>
    </xf>
    <xf numFmtId="0" fontId="3" fillId="9" borderId="0" xfId="0" applyFont="1" applyFill="1" applyAlignment="1">
      <alignment/>
    </xf>
    <xf numFmtId="0" fontId="0" fillId="9" borderId="37" xfId="0" applyFill="1" applyBorder="1" applyAlignment="1">
      <alignment/>
    </xf>
    <xf numFmtId="0" fontId="0" fillId="9" borderId="30" xfId="0" applyFill="1" applyBorder="1" applyAlignment="1">
      <alignment/>
    </xf>
    <xf numFmtId="0" fontId="15" fillId="9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1" fillId="9" borderId="38" xfId="0" applyFont="1" applyFill="1" applyBorder="1" applyAlignment="1">
      <alignment horizontal="center" vertical="top" wrapText="1"/>
    </xf>
    <xf numFmtId="0" fontId="1" fillId="9" borderId="39" xfId="0" applyFont="1" applyFill="1" applyBorder="1" applyAlignment="1">
      <alignment horizontal="center" vertical="top" wrapText="1"/>
    </xf>
    <xf numFmtId="0" fontId="1" fillId="9" borderId="40" xfId="0" applyFont="1" applyFill="1" applyBorder="1" applyAlignment="1">
      <alignment horizontal="center" vertical="top" wrapText="1"/>
    </xf>
    <xf numFmtId="0" fontId="1" fillId="9" borderId="0" xfId="0" applyFont="1" applyFill="1" applyBorder="1" applyAlignment="1">
      <alignment vertical="top" wrapText="1"/>
    </xf>
    <xf numFmtId="0" fontId="1" fillId="9" borderId="41" xfId="0" applyFont="1" applyFill="1" applyBorder="1" applyAlignment="1">
      <alignment vertical="top" wrapText="1"/>
    </xf>
    <xf numFmtId="2" fontId="1" fillId="9" borderId="41" xfId="0" applyNumberFormat="1" applyFont="1" applyFill="1" applyBorder="1" applyAlignment="1">
      <alignment horizontal="center" vertical="top" wrapText="1"/>
    </xf>
    <xf numFmtId="0" fontId="1" fillId="9" borderId="40" xfId="0" applyFont="1" applyFill="1" applyBorder="1" applyAlignment="1">
      <alignment vertical="top" wrapText="1"/>
    </xf>
    <xf numFmtId="2" fontId="1" fillId="9" borderId="40" xfId="0" applyNumberFormat="1" applyFont="1" applyFill="1" applyBorder="1" applyAlignment="1">
      <alignment horizontal="center" vertical="top" wrapText="1"/>
    </xf>
    <xf numFmtId="0" fontId="1" fillId="9" borderId="39" xfId="0" applyFont="1" applyFill="1" applyBorder="1" applyAlignment="1">
      <alignment vertical="top" wrapText="1"/>
    </xf>
    <xf numFmtId="2" fontId="1" fillId="9" borderId="39" xfId="0" applyNumberFormat="1" applyFont="1" applyFill="1" applyBorder="1" applyAlignment="1">
      <alignment horizontal="center" vertical="top" wrapText="1"/>
    </xf>
    <xf numFmtId="1" fontId="34" fillId="9" borderId="0" xfId="0" applyNumberFormat="1" applyFont="1" applyFill="1" applyAlignment="1">
      <alignment/>
    </xf>
    <xf numFmtId="49" fontId="30" fillId="9" borderId="28" xfId="0" applyNumberFormat="1" applyFont="1" applyFill="1" applyBorder="1" applyAlignment="1">
      <alignment horizontal="center" vertical="center" wrapText="1"/>
    </xf>
    <xf numFmtId="0" fontId="30" fillId="9" borderId="14" xfId="0" applyFont="1" applyFill="1" applyBorder="1" applyAlignment="1">
      <alignment horizontal="center" vertical="center" wrapText="1"/>
    </xf>
    <xf numFmtId="0" fontId="0" fillId="9" borderId="19" xfId="0" applyFont="1" applyFill="1" applyBorder="1" applyAlignment="1">
      <alignment horizontal="center" vertical="center" wrapText="1"/>
    </xf>
    <xf numFmtId="1" fontId="0" fillId="9" borderId="27" xfId="0" applyNumberFormat="1" applyFont="1" applyFill="1" applyBorder="1" applyAlignment="1">
      <alignment horizontal="center" vertical="center" wrapText="1"/>
    </xf>
    <xf numFmtId="2" fontId="0" fillId="9" borderId="27" xfId="0" applyNumberFormat="1" applyFont="1" applyFill="1" applyBorder="1" applyAlignment="1">
      <alignment horizontal="center" vertical="center" wrapText="1"/>
    </xf>
    <xf numFmtId="2" fontId="0" fillId="9" borderId="42" xfId="0" applyNumberFormat="1" applyFont="1" applyFill="1" applyBorder="1" applyAlignment="1">
      <alignment horizontal="center" vertical="center" wrapText="1"/>
    </xf>
    <xf numFmtId="0" fontId="33" fillId="9" borderId="33" xfId="0" applyFont="1" applyFill="1" applyBorder="1" applyAlignment="1">
      <alignment horizontal="center" vertical="center" wrapText="1"/>
    </xf>
    <xf numFmtId="1" fontId="0" fillId="9" borderId="2" xfId="0" applyNumberFormat="1" applyFont="1" applyFill="1" applyBorder="1" applyAlignment="1">
      <alignment horizontal="center" vertical="center" wrapText="1"/>
    </xf>
    <xf numFmtId="2" fontId="0" fillId="9" borderId="2" xfId="0" applyNumberFormat="1" applyFont="1" applyFill="1" applyBorder="1" applyAlignment="1">
      <alignment horizontal="center" vertical="center" wrapText="1"/>
    </xf>
    <xf numFmtId="2" fontId="0" fillId="9" borderId="13" xfId="0" applyNumberFormat="1" applyFont="1" applyFill="1" applyBorder="1" applyAlignment="1">
      <alignment horizontal="center" vertical="center" wrapText="1"/>
    </xf>
    <xf numFmtId="0" fontId="0" fillId="9" borderId="33" xfId="0" applyFont="1" applyFill="1" applyBorder="1" applyAlignment="1">
      <alignment horizontal="center" vertical="center" wrapText="1"/>
    </xf>
    <xf numFmtId="1" fontId="0" fillId="9" borderId="2" xfId="0" applyNumberFormat="1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 wrapText="1"/>
    </xf>
    <xf numFmtId="1" fontId="0" fillId="9" borderId="28" xfId="0" applyNumberFormat="1" applyFont="1" applyFill="1" applyBorder="1" applyAlignment="1">
      <alignment horizontal="center" vertical="center" wrapText="1"/>
    </xf>
    <xf numFmtId="2" fontId="0" fillId="9" borderId="28" xfId="0" applyNumberFormat="1" applyFont="1" applyFill="1" applyBorder="1" applyAlignment="1">
      <alignment horizontal="center" vertical="center" wrapText="1"/>
    </xf>
    <xf numFmtId="2" fontId="0" fillId="9" borderId="14" xfId="0" applyNumberFormat="1" applyFont="1" applyFill="1" applyBorder="1" applyAlignment="1">
      <alignment horizontal="center" vertical="center" wrapText="1"/>
    </xf>
    <xf numFmtId="0" fontId="0" fillId="9" borderId="43" xfId="0" applyFill="1" applyBorder="1" applyAlignment="1">
      <alignment/>
    </xf>
    <xf numFmtId="0" fontId="0" fillId="9" borderId="6" xfId="0" applyFill="1" applyBorder="1" applyAlignment="1">
      <alignment/>
    </xf>
    <xf numFmtId="0" fontId="14" fillId="9" borderId="8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0" fillId="9" borderId="8" xfId="0" applyFill="1" applyBorder="1" applyAlignment="1">
      <alignment horizontal="left" vertical="center"/>
    </xf>
    <xf numFmtId="0" fontId="0" fillId="9" borderId="8" xfId="0" applyFill="1" applyBorder="1" applyAlignment="1">
      <alignment/>
    </xf>
    <xf numFmtId="2" fontId="0" fillId="9" borderId="5" xfId="0" applyNumberFormat="1" applyFill="1" applyBorder="1" applyAlignment="1">
      <alignment vertical="center"/>
    </xf>
    <xf numFmtId="2" fontId="0" fillId="9" borderId="8" xfId="0" applyNumberFormat="1" applyFill="1" applyBorder="1" applyAlignment="1">
      <alignment horizontal="right" vertical="center"/>
    </xf>
    <xf numFmtId="1" fontId="0" fillId="9" borderId="33" xfId="0" applyNumberFormat="1" applyFill="1" applyBorder="1" applyAlignment="1">
      <alignment horizontal="center" vertical="center" wrapText="1"/>
    </xf>
    <xf numFmtId="49" fontId="0" fillId="9" borderId="27" xfId="0" applyNumberFormat="1" applyFill="1" applyBorder="1" applyAlignment="1">
      <alignment horizontal="right" vertical="center" wrapText="1" indent="1"/>
    </xf>
    <xf numFmtId="0" fontId="0" fillId="9" borderId="0" xfId="0" applyFill="1" applyBorder="1" applyAlignment="1">
      <alignment vertical="center"/>
    </xf>
    <xf numFmtId="49" fontId="0" fillId="9" borderId="2" xfId="0" applyNumberFormat="1" applyFill="1" applyBorder="1" applyAlignment="1">
      <alignment horizontal="right" vertical="center" wrapText="1" indent="1"/>
    </xf>
    <xf numFmtId="2" fontId="0" fillId="9" borderId="8" xfId="0" applyNumberFormat="1" applyFill="1" applyBorder="1" applyAlignment="1">
      <alignment vertical="center"/>
    </xf>
    <xf numFmtId="2" fontId="0" fillId="9" borderId="2" xfId="0" applyNumberFormat="1" applyFill="1" applyBorder="1" applyAlignment="1">
      <alignment vertical="center"/>
    </xf>
    <xf numFmtId="0" fontId="0" fillId="9" borderId="0" xfId="0" applyFill="1" applyBorder="1" applyAlignment="1">
      <alignment horizontal="right" vertical="center"/>
    </xf>
    <xf numFmtId="0" fontId="0" fillId="9" borderId="11" xfId="0" applyFill="1" applyBorder="1" applyAlignment="1">
      <alignment/>
    </xf>
    <xf numFmtId="0" fontId="0" fillId="9" borderId="9" xfId="0" applyFill="1" applyBorder="1" applyAlignment="1">
      <alignment/>
    </xf>
    <xf numFmtId="1" fontId="0" fillId="9" borderId="15" xfId="0" applyNumberFormat="1" applyFill="1" applyBorder="1" applyAlignment="1">
      <alignment horizontal="center" vertical="center" wrapText="1"/>
    </xf>
    <xf numFmtId="49" fontId="0" fillId="9" borderId="28" xfId="0" applyNumberFormat="1" applyFill="1" applyBorder="1" applyAlignment="1">
      <alignment horizontal="right" vertical="center" wrapText="1" indent="1"/>
    </xf>
    <xf numFmtId="0" fontId="0" fillId="9" borderId="37" xfId="0" applyFill="1" applyBorder="1" applyAlignment="1" applyProtection="1">
      <alignment/>
      <protection locked="0"/>
    </xf>
    <xf numFmtId="0" fontId="0" fillId="9" borderId="43" xfId="0" applyFill="1" applyBorder="1" applyAlignment="1" applyProtection="1">
      <alignment/>
      <protection locked="0"/>
    </xf>
    <xf numFmtId="0" fontId="0" fillId="9" borderId="6" xfId="0" applyFill="1" applyBorder="1" applyAlignment="1" applyProtection="1">
      <alignment/>
      <protection locked="0"/>
    </xf>
    <xf numFmtId="0" fontId="0" fillId="9" borderId="0" xfId="0" applyFill="1" applyAlignment="1" applyProtection="1">
      <alignment/>
      <protection locked="0"/>
    </xf>
    <xf numFmtId="0" fontId="0" fillId="9" borderId="10" xfId="0" applyFill="1" applyBorder="1" applyAlignment="1" applyProtection="1">
      <alignment/>
      <protection locked="0"/>
    </xf>
    <xf numFmtId="0" fontId="0" fillId="9" borderId="0" xfId="0" applyFill="1" applyBorder="1" applyAlignment="1" applyProtection="1">
      <alignment/>
      <protection locked="0"/>
    </xf>
    <xf numFmtId="0" fontId="0" fillId="9" borderId="8" xfId="0" applyFill="1" applyBorder="1" applyAlignment="1" applyProtection="1">
      <alignment/>
      <protection locked="0"/>
    </xf>
    <xf numFmtId="0" fontId="0" fillId="9" borderId="30" xfId="0" applyFill="1" applyBorder="1" applyAlignment="1" applyProtection="1">
      <alignment/>
      <protection locked="0"/>
    </xf>
    <xf numFmtId="0" fontId="0" fillId="9" borderId="11" xfId="0" applyFill="1" applyBorder="1" applyAlignment="1" applyProtection="1">
      <alignment/>
      <protection locked="0"/>
    </xf>
    <xf numFmtId="0" fontId="0" fillId="9" borderId="9" xfId="0" applyFill="1" applyBorder="1" applyAlignment="1" applyProtection="1">
      <alignment/>
      <protection locked="0"/>
    </xf>
    <xf numFmtId="0" fontId="1" fillId="9" borderId="44" xfId="0" applyFont="1" applyFill="1" applyBorder="1" applyAlignment="1">
      <alignment horizontal="center" vertical="top" wrapText="1"/>
    </xf>
    <xf numFmtId="0" fontId="1" fillId="9" borderId="0" xfId="0" applyFont="1" applyFill="1" applyBorder="1" applyAlignment="1">
      <alignment horizontal="center" vertical="top" wrapText="1"/>
    </xf>
    <xf numFmtId="0" fontId="1" fillId="9" borderId="31" xfId="0" applyFont="1" applyFill="1" applyBorder="1" applyAlignment="1">
      <alignment horizontal="center" vertical="top" wrapText="1"/>
    </xf>
    <xf numFmtId="2" fontId="1" fillId="9" borderId="31" xfId="0" applyNumberFormat="1" applyFont="1" applyFill="1" applyBorder="1" applyAlignment="1">
      <alignment horizontal="center" vertical="top" wrapText="1"/>
    </xf>
    <xf numFmtId="2" fontId="1" fillId="9" borderId="44" xfId="0" applyNumberFormat="1" applyFont="1" applyFill="1" applyBorder="1" applyAlignment="1">
      <alignment horizontal="center" vertical="top" wrapText="1"/>
    </xf>
    <xf numFmtId="2" fontId="1" fillId="9" borderId="0" xfId="0" applyNumberFormat="1" applyFont="1" applyFill="1" applyBorder="1" applyAlignment="1">
      <alignment horizontal="center" vertical="top" wrapText="1"/>
    </xf>
    <xf numFmtId="0" fontId="0" fillId="9" borderId="45" xfId="0" applyFill="1" applyBorder="1" applyAlignment="1">
      <alignment/>
    </xf>
    <xf numFmtId="0" fontId="0" fillId="9" borderId="46" xfId="0" applyFill="1" applyBorder="1" applyAlignment="1">
      <alignment/>
    </xf>
    <xf numFmtId="0" fontId="0" fillId="9" borderId="40" xfId="0" applyFill="1" applyBorder="1" applyAlignment="1">
      <alignment/>
    </xf>
    <xf numFmtId="0" fontId="0" fillId="9" borderId="44" xfId="0" applyFill="1" applyBorder="1" applyAlignment="1">
      <alignment/>
    </xf>
    <xf numFmtId="2" fontId="0" fillId="9" borderId="0" xfId="0" applyNumberFormat="1" applyFill="1" applyAlignment="1">
      <alignment/>
    </xf>
    <xf numFmtId="178" fontId="0" fillId="9" borderId="0" xfId="0" applyNumberFormat="1" applyFill="1" applyAlignment="1">
      <alignment/>
    </xf>
    <xf numFmtId="178" fontId="18" fillId="18" borderId="33" xfId="0" applyNumberFormat="1" applyFont="1" applyFill="1" applyBorder="1" applyAlignment="1" applyProtection="1">
      <alignment/>
      <protection locked="0"/>
    </xf>
    <xf numFmtId="178" fontId="18" fillId="18" borderId="4" xfId="0" applyNumberFormat="1" applyFont="1" applyFill="1" applyBorder="1" applyAlignment="1" applyProtection="1">
      <alignment/>
      <protection locked="0"/>
    </xf>
    <xf numFmtId="178" fontId="0" fillId="5" borderId="33" xfId="0" applyNumberFormat="1" applyFill="1" applyBorder="1" applyAlignment="1" applyProtection="1">
      <alignment/>
      <protection locked="0"/>
    </xf>
    <xf numFmtId="178" fontId="0" fillId="5" borderId="4" xfId="0" applyNumberFormat="1" applyFill="1" applyBorder="1" applyAlignment="1" applyProtection="1">
      <alignment/>
      <protection locked="0"/>
    </xf>
    <xf numFmtId="178" fontId="0" fillId="5" borderId="47" xfId="0" applyNumberFormat="1" applyFill="1" applyBorder="1" applyAlignment="1" applyProtection="1">
      <alignment/>
      <protection locked="0"/>
    </xf>
    <xf numFmtId="178" fontId="0" fillId="5" borderId="37" xfId="0" applyNumberFormat="1" applyFill="1" applyBorder="1" applyAlignment="1" applyProtection="1">
      <alignment/>
      <protection locked="0"/>
    </xf>
    <xf numFmtId="178" fontId="0" fillId="5" borderId="19" xfId="0" applyNumberFormat="1" applyFill="1" applyBorder="1" applyAlignment="1" applyProtection="1">
      <alignment/>
      <protection locked="0"/>
    </xf>
    <xf numFmtId="178" fontId="0" fillId="5" borderId="24" xfId="0" applyNumberFormat="1" applyFill="1" applyBorder="1" applyAlignment="1" applyProtection="1">
      <alignment/>
      <protection locked="0"/>
    </xf>
    <xf numFmtId="178" fontId="0" fillId="5" borderId="29" xfId="0" applyNumberFormat="1" applyFill="1" applyBorder="1" applyAlignment="1" applyProtection="1">
      <alignment/>
      <protection locked="0"/>
    </xf>
    <xf numFmtId="178" fontId="0" fillId="5" borderId="15" xfId="0" applyNumberFormat="1" applyFill="1" applyBorder="1" applyAlignment="1" applyProtection="1">
      <alignment/>
      <protection locked="0"/>
    </xf>
    <xf numFmtId="178" fontId="0" fillId="5" borderId="48" xfId="0" applyNumberFormat="1" applyFill="1" applyBorder="1" applyAlignment="1" applyProtection="1">
      <alignment/>
      <protection locked="0"/>
    </xf>
    <xf numFmtId="178" fontId="0" fillId="15" borderId="16" xfId="0" applyNumberFormat="1" applyFill="1" applyBorder="1" applyAlignment="1">
      <alignment/>
    </xf>
    <xf numFmtId="178" fontId="0" fillId="13" borderId="33" xfId="0" applyNumberFormat="1" applyFill="1" applyBorder="1" applyAlignment="1">
      <alignment/>
    </xf>
    <xf numFmtId="178" fontId="0" fillId="13" borderId="4" xfId="0" applyNumberFormat="1" applyFill="1" applyBorder="1" applyAlignment="1">
      <alignment/>
    </xf>
    <xf numFmtId="178" fontId="0" fillId="3" borderId="15" xfId="0" applyNumberFormat="1" applyFill="1" applyBorder="1" applyAlignment="1">
      <alignment/>
    </xf>
    <xf numFmtId="178" fontId="12" fillId="14" borderId="17" xfId="0" applyNumberFormat="1" applyFont="1" applyFill="1" applyBorder="1" applyAlignment="1">
      <alignment horizontal="center"/>
    </xf>
    <xf numFmtId="178" fontId="12" fillId="14" borderId="18" xfId="0" applyNumberFormat="1" applyFont="1" applyFill="1" applyBorder="1" applyAlignment="1">
      <alignment horizontal="center"/>
    </xf>
    <xf numFmtId="178" fontId="18" fillId="16" borderId="17" xfId="0" applyNumberFormat="1" applyFont="1" applyFill="1" applyBorder="1" applyAlignment="1">
      <alignment horizontal="center"/>
    </xf>
    <xf numFmtId="178" fontId="12" fillId="14" borderId="49" xfId="0" applyNumberFormat="1" applyFont="1" applyFill="1" applyBorder="1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2" fontId="0" fillId="10" borderId="4" xfId="0" applyNumberFormat="1" applyFill="1" applyBorder="1" applyAlignment="1">
      <alignment horizontal="right" vertical="center"/>
    </xf>
    <xf numFmtId="2" fontId="0" fillId="10" borderId="48" xfId="0" applyNumberFormat="1" applyFill="1" applyBorder="1" applyAlignment="1">
      <alignment horizontal="right" vertical="center"/>
    </xf>
    <xf numFmtId="0" fontId="22" fillId="9" borderId="35" xfId="0" applyFont="1" applyFill="1" applyBorder="1" applyAlignment="1">
      <alignment horizontal="center" vertical="center" wrapText="1"/>
    </xf>
    <xf numFmtId="0" fontId="22" fillId="9" borderId="35" xfId="0" applyFont="1" applyFill="1" applyBorder="1" applyAlignment="1">
      <alignment horizontal="center"/>
    </xf>
    <xf numFmtId="179" fontId="0" fillId="21" borderId="31" xfId="0" applyNumberFormat="1" applyFill="1" applyBorder="1" applyAlignment="1">
      <alignment/>
    </xf>
    <xf numFmtId="0" fontId="0" fillId="2" borderId="2" xfId="0" applyFill="1" applyBorder="1" applyAlignment="1" applyProtection="1">
      <alignment horizontal="center" vertical="center"/>
      <protection/>
    </xf>
    <xf numFmtId="0" fontId="0" fillId="9" borderId="50" xfId="0" applyFill="1" applyBorder="1" applyAlignment="1" applyProtection="1">
      <alignment/>
      <protection locked="0"/>
    </xf>
    <xf numFmtId="0" fontId="0" fillId="9" borderId="17" xfId="0" applyFill="1" applyBorder="1" applyAlignment="1" applyProtection="1">
      <alignment/>
      <protection locked="0"/>
    </xf>
    <xf numFmtId="0" fontId="0" fillId="9" borderId="50" xfId="0" applyFill="1" applyBorder="1" applyAlignment="1" applyProtection="1">
      <alignment/>
      <protection locked="0"/>
    </xf>
    <xf numFmtId="0" fontId="0" fillId="10" borderId="2" xfId="0" applyFill="1" applyBorder="1" applyAlignment="1">
      <alignment vertical="center"/>
    </xf>
    <xf numFmtId="178" fontId="13" fillId="13" borderId="18" xfId="0" applyNumberFormat="1" applyFont="1" applyFill="1" applyBorder="1" applyAlignment="1">
      <alignment horizontal="right"/>
    </xf>
    <xf numFmtId="178" fontId="18" fillId="17" borderId="17" xfId="0" applyNumberFormat="1" applyFont="1" applyFill="1" applyBorder="1" applyAlignment="1">
      <alignment horizontal="right"/>
    </xf>
    <xf numFmtId="178" fontId="23" fillId="7" borderId="17" xfId="0" applyNumberFormat="1" applyFont="1" applyFill="1" applyBorder="1" applyAlignment="1">
      <alignment horizontal="right"/>
    </xf>
    <xf numFmtId="178" fontId="20" fillId="19" borderId="18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" fontId="18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/>
    </xf>
    <xf numFmtId="0" fontId="0" fillId="17" borderId="51" xfId="0" applyFill="1" applyBorder="1" applyAlignment="1">
      <alignment/>
    </xf>
    <xf numFmtId="0" fontId="0" fillId="11" borderId="12" xfId="0" applyFill="1" applyBorder="1" applyAlignment="1">
      <alignment/>
    </xf>
    <xf numFmtId="0" fontId="18" fillId="19" borderId="52" xfId="0" applyFont="1" applyFill="1" applyBorder="1" applyAlignment="1">
      <alignment/>
    </xf>
    <xf numFmtId="0" fontId="0" fillId="22" borderId="2" xfId="0" applyFill="1" applyBorder="1" applyAlignment="1">
      <alignment/>
    </xf>
    <xf numFmtId="0" fontId="12" fillId="14" borderId="12" xfId="0" applyFont="1" applyFill="1" applyBorder="1" applyAlignment="1">
      <alignment/>
    </xf>
    <xf numFmtId="0" fontId="12" fillId="14" borderId="43" xfId="0" applyFont="1" applyFill="1" applyBorder="1" applyAlignment="1">
      <alignment/>
    </xf>
    <xf numFmtId="0" fontId="12" fillId="14" borderId="52" xfId="0" applyFont="1" applyFill="1" applyBorder="1" applyAlignment="1">
      <alignment/>
    </xf>
    <xf numFmtId="0" fontId="0" fillId="15" borderId="51" xfId="0" applyFill="1" applyBorder="1" applyAlignment="1">
      <alignment/>
    </xf>
    <xf numFmtId="0" fontId="18" fillId="17" borderId="12" xfId="0" applyFont="1" applyFill="1" applyBorder="1" applyAlignment="1">
      <alignment/>
    </xf>
    <xf numFmtId="0" fontId="23" fillId="7" borderId="12" xfId="0" applyFont="1" applyFill="1" applyBorder="1" applyAlignment="1">
      <alignment/>
    </xf>
    <xf numFmtId="0" fontId="0" fillId="13" borderId="2" xfId="0" applyFill="1" applyBorder="1" applyAlignment="1">
      <alignment/>
    </xf>
    <xf numFmtId="1" fontId="0" fillId="13" borderId="2" xfId="0" applyNumberFormat="1" applyFill="1" applyBorder="1" applyAlignment="1">
      <alignment/>
    </xf>
    <xf numFmtId="0" fontId="0" fillId="21" borderId="2" xfId="0" applyFill="1" applyBorder="1" applyAlignment="1">
      <alignment/>
    </xf>
    <xf numFmtId="1" fontId="0" fillId="21" borderId="2" xfId="0" applyNumberFormat="1" applyFill="1" applyBorder="1" applyAlignment="1">
      <alignment/>
    </xf>
    <xf numFmtId="0" fontId="0" fillId="17" borderId="2" xfId="0" applyFill="1" applyBorder="1" applyAlignment="1">
      <alignment/>
    </xf>
    <xf numFmtId="0" fontId="0" fillId="13" borderId="19" xfId="0" applyFill="1" applyBorder="1" applyAlignment="1">
      <alignment/>
    </xf>
    <xf numFmtId="0" fontId="0" fillId="13" borderId="27" xfId="0" applyFill="1" applyBorder="1" applyAlignment="1">
      <alignment/>
    </xf>
    <xf numFmtId="1" fontId="0" fillId="13" borderId="42" xfId="0" applyNumberFormat="1" applyFill="1" applyBorder="1" applyAlignment="1">
      <alignment/>
    </xf>
    <xf numFmtId="0" fontId="0" fillId="13" borderId="33" xfId="0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28" xfId="0" applyFill="1" applyBorder="1" applyAlignment="1">
      <alignment/>
    </xf>
    <xf numFmtId="0" fontId="0" fillId="13" borderId="14" xfId="0" applyFill="1" applyBorder="1" applyAlignment="1">
      <alignment/>
    </xf>
    <xf numFmtId="0" fontId="0" fillId="21" borderId="19" xfId="0" applyFill="1" applyBorder="1" applyAlignment="1">
      <alignment/>
    </xf>
    <xf numFmtId="0" fontId="0" fillId="21" borderId="27" xfId="0" applyFill="1" applyBorder="1" applyAlignment="1">
      <alignment/>
    </xf>
    <xf numFmtId="1" fontId="0" fillId="21" borderId="42" xfId="0" applyNumberFormat="1" applyFill="1" applyBorder="1" applyAlignment="1">
      <alignment/>
    </xf>
    <xf numFmtId="0" fontId="0" fillId="21" borderId="33" xfId="0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15" xfId="0" applyFill="1" applyBorder="1" applyAlignment="1">
      <alignment/>
    </xf>
    <xf numFmtId="0" fontId="0" fillId="21" borderId="28" xfId="0" applyFill="1" applyBorder="1" applyAlignment="1">
      <alignment/>
    </xf>
    <xf numFmtId="0" fontId="0" fillId="21" borderId="14" xfId="0" applyFill="1" applyBorder="1" applyAlignment="1">
      <alignment/>
    </xf>
    <xf numFmtId="0" fontId="0" fillId="17" borderId="19" xfId="0" applyFill="1" applyBorder="1" applyAlignment="1">
      <alignment/>
    </xf>
    <xf numFmtId="0" fontId="0" fillId="17" borderId="27" xfId="0" applyFill="1" applyBorder="1" applyAlignment="1">
      <alignment/>
    </xf>
    <xf numFmtId="1" fontId="0" fillId="17" borderId="42" xfId="0" applyNumberFormat="1" applyFill="1" applyBorder="1" applyAlignment="1">
      <alignment/>
    </xf>
    <xf numFmtId="0" fontId="0" fillId="17" borderId="33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28" xfId="0" applyFill="1" applyBorder="1" applyAlignment="1">
      <alignment/>
    </xf>
    <xf numFmtId="0" fontId="0" fillId="17" borderId="14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27" xfId="0" applyFill="1" applyBorder="1" applyAlignment="1">
      <alignment/>
    </xf>
    <xf numFmtId="1" fontId="0" fillId="22" borderId="42" xfId="0" applyNumberFormat="1" applyFill="1" applyBorder="1" applyAlignment="1">
      <alignment/>
    </xf>
    <xf numFmtId="0" fontId="0" fillId="22" borderId="33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5" xfId="0" applyFill="1" applyBorder="1" applyAlignment="1">
      <alignment/>
    </xf>
    <xf numFmtId="0" fontId="0" fillId="22" borderId="28" xfId="0" applyFill="1" applyBorder="1" applyAlignment="1">
      <alignment/>
    </xf>
    <xf numFmtId="0" fontId="0" fillId="22" borderId="14" xfId="0" applyFill="1" applyBorder="1" applyAlignment="1">
      <alignment/>
    </xf>
    <xf numFmtId="0" fontId="0" fillId="9" borderId="18" xfId="0" applyFill="1" applyBorder="1" applyAlignment="1" applyProtection="1">
      <alignment/>
      <protection/>
    </xf>
    <xf numFmtId="1" fontId="0" fillId="2" borderId="4" xfId="0" applyNumberFormat="1" applyFont="1" applyFill="1" applyBorder="1" applyAlignment="1" applyProtection="1">
      <alignment horizontal="center" vertical="center"/>
      <protection/>
    </xf>
    <xf numFmtId="1" fontId="0" fillId="2" borderId="13" xfId="0" applyNumberFormat="1" applyFont="1" applyFill="1" applyBorder="1" applyAlignment="1" applyProtection="1">
      <alignment horizontal="center" vertical="center"/>
      <protection/>
    </xf>
    <xf numFmtId="2" fontId="0" fillId="10" borderId="14" xfId="0" applyNumberFormat="1" applyFill="1" applyBorder="1" applyAlignment="1" applyProtection="1">
      <alignment horizontal="right" vertical="center"/>
      <protection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13" borderId="0" xfId="0" applyFill="1" applyAlignment="1">
      <alignment horizontal="left"/>
    </xf>
    <xf numFmtId="179" fontId="14" fillId="12" borderId="3" xfId="0" applyNumberFormat="1" applyFont="1" applyFill="1" applyBorder="1" applyAlignment="1">
      <alignment horizontal="center" vertical="center"/>
    </xf>
    <xf numFmtId="0" fontId="0" fillId="13" borderId="0" xfId="0" applyFill="1" applyAlignment="1">
      <alignment/>
    </xf>
    <xf numFmtId="0" fontId="0" fillId="0" borderId="2" xfId="0" applyBorder="1" applyAlignment="1">
      <alignment/>
    </xf>
    <xf numFmtId="0" fontId="0" fillId="0" borderId="28" xfId="0" applyBorder="1" applyAlignment="1">
      <alignment/>
    </xf>
    <xf numFmtId="0" fontId="0" fillId="0" borderId="3" xfId="0" applyBorder="1" applyAlignment="1">
      <alignment/>
    </xf>
    <xf numFmtId="0" fontId="14" fillId="2" borderId="53" xfId="0" applyFont="1" applyFill="1" applyBorder="1" applyAlignment="1">
      <alignment horizontal="center" wrapText="1"/>
    </xf>
    <xf numFmtId="0" fontId="14" fillId="2" borderId="54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 wrapText="1"/>
    </xf>
    <xf numFmtId="0" fontId="37" fillId="2" borderId="54" xfId="0" applyFont="1" applyFill="1" applyBorder="1" applyAlignment="1">
      <alignment horizontal="center" vertical="center"/>
    </xf>
    <xf numFmtId="0" fontId="14" fillId="23" borderId="3" xfId="0" applyFont="1" applyFill="1" applyBorder="1" applyAlignment="1">
      <alignment horizontal="center" vertical="center"/>
    </xf>
    <xf numFmtId="0" fontId="14" fillId="23" borderId="2" xfId="0" applyFont="1" applyFill="1" applyBorder="1" applyAlignment="1">
      <alignment horizontal="center" vertical="center"/>
    </xf>
    <xf numFmtId="0" fontId="14" fillId="23" borderId="28" xfId="0" applyFont="1" applyFill="1" applyBorder="1" applyAlignment="1">
      <alignment horizontal="center" vertical="center"/>
    </xf>
    <xf numFmtId="0" fontId="37" fillId="10" borderId="29" xfId="0" applyFont="1" applyFill="1" applyBorder="1" applyAlignment="1">
      <alignment horizontal="center" vertical="center"/>
    </xf>
    <xf numFmtId="0" fontId="37" fillId="10" borderId="33" xfId="0" applyFont="1" applyFill="1" applyBorder="1" applyAlignment="1">
      <alignment horizontal="center" vertical="center"/>
    </xf>
    <xf numFmtId="0" fontId="37" fillId="10" borderId="15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0" fillId="9" borderId="33" xfId="0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179" fontId="14" fillId="12" borderId="55" xfId="0" applyNumberFormat="1" applyFont="1" applyFill="1" applyBorder="1" applyAlignment="1">
      <alignment horizontal="center" vertical="center"/>
    </xf>
    <xf numFmtId="179" fontId="14" fillId="12" borderId="2" xfId="0" applyNumberFormat="1" applyFont="1" applyFill="1" applyBorder="1" applyAlignment="1">
      <alignment horizontal="center" vertical="center"/>
    </xf>
    <xf numFmtId="179" fontId="14" fillId="12" borderId="13" xfId="0" applyNumberFormat="1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9" fontId="14" fillId="12" borderId="28" xfId="0" applyNumberFormat="1" applyFont="1" applyFill="1" applyBorder="1" applyAlignment="1">
      <alignment horizontal="center" vertical="center"/>
    </xf>
    <xf numFmtId="179" fontId="14" fillId="12" borderId="14" xfId="0" applyNumberFormat="1" applyFont="1" applyFill="1" applyBorder="1" applyAlignment="1">
      <alignment horizontal="center" vertical="center"/>
    </xf>
    <xf numFmtId="0" fontId="37" fillId="2" borderId="54" xfId="0" applyFont="1" applyFill="1" applyBorder="1" applyAlignment="1">
      <alignment horizontal="center" vertical="center"/>
    </xf>
    <xf numFmtId="0" fontId="37" fillId="2" borderId="56" xfId="0" applyFont="1" applyFill="1" applyBorder="1" applyAlignment="1">
      <alignment horizontal="center" vertical="center"/>
    </xf>
    <xf numFmtId="179" fontId="14" fillId="12" borderId="3" xfId="0" applyNumberFormat="1" applyFont="1" applyFill="1" applyBorder="1" applyAlignment="1">
      <alignment horizontal="center" vertical="center"/>
    </xf>
    <xf numFmtId="0" fontId="0" fillId="9" borderId="15" xfId="0" applyFill="1" applyBorder="1" applyAlignment="1">
      <alignment horizontal="left"/>
    </xf>
    <xf numFmtId="0" fontId="0" fillId="9" borderId="28" xfId="0" applyFill="1" applyBorder="1" applyAlignment="1">
      <alignment horizontal="left"/>
    </xf>
    <xf numFmtId="0" fontId="0" fillId="9" borderId="48" xfId="0" applyFill="1" applyBorder="1" applyAlignment="1">
      <alignment horizontal="left"/>
    </xf>
    <xf numFmtId="0" fontId="14" fillId="13" borderId="53" xfId="0" applyFont="1" applyFill="1" applyBorder="1" applyAlignment="1">
      <alignment horizontal="center" vertical="center"/>
    </xf>
    <xf numFmtId="0" fontId="14" fillId="13" borderId="54" xfId="0" applyFont="1" applyFill="1" applyBorder="1" applyAlignment="1">
      <alignment horizontal="center" vertical="center"/>
    </xf>
    <xf numFmtId="0" fontId="14" fillId="13" borderId="56" xfId="0" applyFont="1" applyFill="1" applyBorder="1" applyAlignment="1">
      <alignment horizontal="center" vertical="center"/>
    </xf>
    <xf numFmtId="0" fontId="14" fillId="24" borderId="53" xfId="0" applyFont="1" applyFill="1" applyBorder="1" applyAlignment="1">
      <alignment horizontal="center" vertical="center"/>
    </xf>
    <xf numFmtId="0" fontId="14" fillId="24" borderId="54" xfId="0" applyFont="1" applyFill="1" applyBorder="1" applyAlignment="1">
      <alignment horizontal="center" vertical="center"/>
    </xf>
    <xf numFmtId="0" fontId="14" fillId="24" borderId="56" xfId="0" applyFont="1" applyFill="1" applyBorder="1" applyAlignment="1">
      <alignment horizontal="center" vertical="center"/>
    </xf>
    <xf numFmtId="0" fontId="0" fillId="9" borderId="29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30" xfId="0" applyFill="1" applyBorder="1" applyAlignment="1">
      <alignment horizontal="left"/>
    </xf>
    <xf numFmtId="0" fontId="8" fillId="9" borderId="0" xfId="0" applyFont="1" applyFill="1" applyBorder="1" applyAlignment="1">
      <alignment horizontal="center" vertical="center" wrapText="1"/>
    </xf>
    <xf numFmtId="0" fontId="8" fillId="9" borderId="46" xfId="0" applyFont="1" applyFill="1" applyBorder="1" applyAlignment="1">
      <alignment horizontal="center" vertical="center" wrapText="1"/>
    </xf>
    <xf numFmtId="0" fontId="34" fillId="17" borderId="23" xfId="0" applyFont="1" applyFill="1" applyBorder="1" applyAlignment="1">
      <alignment/>
    </xf>
    <xf numFmtId="0" fontId="34" fillId="17" borderId="52" xfId="0" applyFont="1" applyFill="1" applyBorder="1" applyAlignment="1">
      <alignment/>
    </xf>
    <xf numFmtId="0" fontId="34" fillId="17" borderId="57" xfId="0" applyFont="1" applyFill="1" applyBorder="1" applyAlignment="1">
      <alignment/>
    </xf>
    <xf numFmtId="0" fontId="34" fillId="9" borderId="2" xfId="0" applyFont="1" applyFill="1" applyBorder="1" applyAlignment="1">
      <alignment/>
    </xf>
    <xf numFmtId="49" fontId="21" fillId="9" borderId="58" xfId="0" applyNumberFormat="1" applyFont="1" applyFill="1" applyBorder="1" applyAlignment="1">
      <alignment horizontal="left" vertical="center" wrapText="1"/>
    </xf>
    <xf numFmtId="49" fontId="21" fillId="9" borderId="24" xfId="0" applyNumberFormat="1" applyFont="1" applyFill="1" applyBorder="1" applyAlignment="1">
      <alignment horizontal="left" vertical="center" wrapText="1"/>
    </xf>
    <xf numFmtId="49" fontId="21" fillId="9" borderId="38" xfId="0" applyNumberFormat="1" applyFont="1" applyFill="1" applyBorder="1" applyAlignment="1">
      <alignment horizontal="left" vertical="center" wrapText="1"/>
    </xf>
    <xf numFmtId="49" fontId="21" fillId="9" borderId="44" xfId="0" applyNumberFormat="1" applyFont="1" applyFill="1" applyBorder="1" applyAlignment="1">
      <alignment horizontal="left" vertical="center" wrapText="1"/>
    </xf>
    <xf numFmtId="49" fontId="21" fillId="9" borderId="0" xfId="0" applyNumberFormat="1" applyFont="1" applyFill="1" applyBorder="1" applyAlignment="1">
      <alignment horizontal="left" vertical="center" wrapText="1"/>
    </xf>
    <xf numFmtId="49" fontId="21" fillId="9" borderId="41" xfId="0" applyNumberFormat="1" applyFont="1" applyFill="1" applyBorder="1" applyAlignment="1">
      <alignment horizontal="left" vertical="center" wrapText="1"/>
    </xf>
    <xf numFmtId="49" fontId="21" fillId="9" borderId="45" xfId="0" applyNumberFormat="1" applyFont="1" applyFill="1" applyBorder="1" applyAlignment="1">
      <alignment horizontal="left" vertical="center" wrapText="1"/>
    </xf>
    <xf numFmtId="49" fontId="21" fillId="9" borderId="46" xfId="0" applyNumberFormat="1" applyFont="1" applyFill="1" applyBorder="1" applyAlignment="1">
      <alignment horizontal="left" vertical="center" wrapText="1"/>
    </xf>
    <xf numFmtId="49" fontId="21" fillId="9" borderId="40" xfId="0" applyNumberFormat="1" applyFont="1" applyFill="1" applyBorder="1" applyAlignment="1">
      <alignment horizontal="left" vertical="center" wrapText="1"/>
    </xf>
    <xf numFmtId="0" fontId="0" fillId="9" borderId="15" xfId="0" applyFill="1" applyBorder="1" applyAlignment="1" applyProtection="1">
      <alignment horizontal="right" vertical="center"/>
      <protection locked="0"/>
    </xf>
    <xf numFmtId="0" fontId="0" fillId="9" borderId="28" xfId="0" applyFill="1" applyBorder="1" applyAlignment="1" applyProtection="1">
      <alignment horizontal="right" vertical="center"/>
      <protection locked="0"/>
    </xf>
    <xf numFmtId="0" fontId="29" fillId="9" borderId="59" xfId="0" applyFont="1" applyFill="1" applyBorder="1" applyAlignment="1">
      <alignment horizontal="center" vertical="center" wrapText="1"/>
    </xf>
    <xf numFmtId="0" fontId="29" fillId="9" borderId="60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8" fillId="9" borderId="61" xfId="0" applyFont="1" applyFill="1" applyBorder="1" applyAlignment="1">
      <alignment horizontal="center" vertical="center" wrapText="1"/>
    </xf>
    <xf numFmtId="0" fontId="30" fillId="9" borderId="30" xfId="0" applyFont="1" applyFill="1" applyBorder="1" applyAlignment="1">
      <alignment horizontal="center" vertical="center" wrapText="1"/>
    </xf>
    <xf numFmtId="0" fontId="30" fillId="9" borderId="62" xfId="0" applyFont="1" applyFill="1" applyBorder="1" applyAlignment="1">
      <alignment horizontal="center" vertical="center" wrapText="1"/>
    </xf>
    <xf numFmtId="2" fontId="0" fillId="9" borderId="4" xfId="0" applyNumberFormat="1" applyFill="1" applyBorder="1" applyAlignment="1">
      <alignment horizontal="center" vertical="center"/>
    </xf>
    <xf numFmtId="2" fontId="0" fillId="9" borderId="63" xfId="0" applyNumberFormat="1" applyFill="1" applyBorder="1" applyAlignment="1">
      <alignment horizontal="center" vertical="center"/>
    </xf>
    <xf numFmtId="2" fontId="0" fillId="9" borderId="48" xfId="0" applyNumberFormat="1" applyFill="1" applyBorder="1" applyAlignment="1">
      <alignment horizontal="center" vertical="center"/>
    </xf>
    <xf numFmtId="2" fontId="0" fillId="9" borderId="64" xfId="0" applyNumberFormat="1" applyFill="1" applyBorder="1" applyAlignment="1">
      <alignment horizontal="center" vertical="center"/>
    </xf>
    <xf numFmtId="2" fontId="0" fillId="9" borderId="65" xfId="0" applyNumberFormat="1" applyFill="1" applyBorder="1" applyAlignment="1">
      <alignment horizontal="center" vertical="center"/>
    </xf>
    <xf numFmtId="2" fontId="0" fillId="9" borderId="66" xfId="0" applyNumberFormat="1" applyFill="1" applyBorder="1" applyAlignment="1">
      <alignment horizontal="center" vertical="center"/>
    </xf>
    <xf numFmtId="0" fontId="29" fillId="9" borderId="29" xfId="0" applyFont="1" applyFill="1" applyBorder="1" applyAlignment="1">
      <alignment horizontal="center" vertical="center" wrapText="1"/>
    </xf>
    <xf numFmtId="0" fontId="29" fillId="9" borderId="15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30" fillId="9" borderId="3" xfId="0" applyFont="1" applyFill="1" applyBorder="1" applyAlignment="1">
      <alignment horizontal="center" vertical="center" wrapText="1"/>
    </xf>
    <xf numFmtId="0" fontId="30" fillId="9" borderId="55" xfId="0" applyFont="1" applyFill="1" applyBorder="1" applyAlignment="1">
      <alignment horizontal="center" vertical="center" wrapText="1"/>
    </xf>
    <xf numFmtId="0" fontId="30" fillId="9" borderId="28" xfId="0" applyFont="1" applyFill="1" applyBorder="1" applyAlignment="1">
      <alignment horizontal="center" vertical="center" wrapText="1"/>
    </xf>
    <xf numFmtId="0" fontId="30" fillId="9" borderId="14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8" fillId="9" borderId="43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right" vertical="center"/>
    </xf>
    <xf numFmtId="0" fontId="0" fillId="5" borderId="12" xfId="0" applyFill="1" applyBorder="1" applyAlignment="1">
      <alignment horizontal="right" vertical="center"/>
    </xf>
    <xf numFmtId="0" fontId="0" fillId="5" borderId="5" xfId="0" applyFill="1" applyBorder="1" applyAlignment="1">
      <alignment horizontal="right" vertical="center"/>
    </xf>
    <xf numFmtId="0" fontId="0" fillId="5" borderId="22" xfId="0" applyFill="1" applyBorder="1" applyAlignment="1">
      <alignment horizontal="right" vertical="center"/>
    </xf>
    <xf numFmtId="0" fontId="0" fillId="5" borderId="43" xfId="0" applyFill="1" applyBorder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14" fillId="24" borderId="67" xfId="0" applyFont="1" applyFill="1" applyBorder="1" applyAlignment="1">
      <alignment horizontal="center" vertical="center"/>
    </xf>
    <xf numFmtId="0" fontId="14" fillId="24" borderId="68" xfId="0" applyFont="1" applyFill="1" applyBorder="1" applyAlignment="1">
      <alignment horizontal="center" vertical="center"/>
    </xf>
    <xf numFmtId="0" fontId="14" fillId="24" borderId="39" xfId="0" applyFont="1" applyFill="1" applyBorder="1" applyAlignment="1">
      <alignment horizontal="center" vertical="center"/>
    </xf>
    <xf numFmtId="0" fontId="0" fillId="9" borderId="19" xfId="0" applyFill="1" applyBorder="1" applyAlignment="1" applyProtection="1">
      <alignment horizontal="right" vertical="center"/>
      <protection locked="0"/>
    </xf>
    <xf numFmtId="0" fontId="0" fillId="9" borderId="27" xfId="0" applyFill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14" fillId="13" borderId="24" xfId="0" applyFont="1" applyFill="1" applyBorder="1" applyAlignment="1">
      <alignment horizontal="center" vertical="center"/>
    </xf>
    <xf numFmtId="0" fontId="14" fillId="13" borderId="38" xfId="0" applyFont="1" applyFill="1" applyBorder="1" applyAlignment="1">
      <alignment horizontal="center" vertical="center"/>
    </xf>
    <xf numFmtId="0" fontId="0" fillId="0" borderId="52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9" borderId="11" xfId="0" applyFill="1" applyBorder="1" applyAlignment="1">
      <alignment horizontal="center" vertical="center"/>
    </xf>
    <xf numFmtId="0" fontId="0" fillId="9" borderId="62" xfId="0" applyFill="1" applyBorder="1" applyAlignment="1">
      <alignment horizontal="center" vertical="center"/>
    </xf>
    <xf numFmtId="0" fontId="0" fillId="9" borderId="68" xfId="0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4" fillId="24" borderId="24" xfId="0" applyFont="1" applyFill="1" applyBorder="1" applyAlignment="1">
      <alignment horizontal="center" vertical="center"/>
    </xf>
    <xf numFmtId="0" fontId="14" fillId="24" borderId="38" xfId="0" applyFont="1" applyFill="1" applyBorder="1" applyAlignment="1">
      <alignment horizontal="center" vertical="center"/>
    </xf>
    <xf numFmtId="0" fontId="0" fillId="9" borderId="38" xfId="0" applyFill="1" applyBorder="1" applyAlignment="1">
      <alignment/>
    </xf>
    <xf numFmtId="0" fontId="0" fillId="9" borderId="40" xfId="0" applyFill="1" applyBorder="1" applyAlignment="1">
      <alignment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" fillId="9" borderId="67" xfId="0" applyFont="1" applyFill="1" applyBorder="1" applyAlignment="1">
      <alignment horizontal="center" vertical="top" wrapText="1"/>
    </xf>
    <xf numFmtId="0" fontId="1" fillId="9" borderId="68" xfId="0" applyFont="1" applyFill="1" applyBorder="1" applyAlignment="1">
      <alignment horizontal="center" vertical="top" wrapText="1"/>
    </xf>
    <xf numFmtId="0" fontId="1" fillId="9" borderId="39" xfId="0" applyFont="1" applyFill="1" applyBorder="1" applyAlignment="1">
      <alignment horizontal="center" vertical="top" wrapText="1"/>
    </xf>
    <xf numFmtId="0" fontId="0" fillId="9" borderId="2" xfId="0" applyFill="1" applyBorder="1" applyAlignment="1">
      <alignment horizontal="right" vertical="center"/>
    </xf>
    <xf numFmtId="0" fontId="0" fillId="9" borderId="4" xfId="0" applyFill="1" applyBorder="1" applyAlignment="1">
      <alignment horizontal="right" vertical="center"/>
    </xf>
    <xf numFmtId="0" fontId="0" fillId="9" borderId="5" xfId="0" applyFill="1" applyBorder="1" applyAlignment="1">
      <alignment horizontal="right" vertical="center"/>
    </xf>
    <xf numFmtId="0" fontId="14" fillId="9" borderId="4" xfId="0" applyFont="1" applyFill="1" applyBorder="1" applyAlignment="1">
      <alignment horizontal="right" vertical="center"/>
    </xf>
    <xf numFmtId="0" fontId="14" fillId="9" borderId="12" xfId="0" applyFont="1" applyFill="1" applyBorder="1" applyAlignment="1">
      <alignment horizontal="right" vertical="center"/>
    </xf>
    <xf numFmtId="0" fontId="14" fillId="9" borderId="5" xfId="0" applyFont="1" applyFill="1" applyBorder="1" applyAlignment="1">
      <alignment horizontal="right" vertical="center"/>
    </xf>
    <xf numFmtId="0" fontId="0" fillId="5" borderId="23" xfId="0" applyFill="1" applyBorder="1" applyAlignment="1">
      <alignment horizontal="right" vertical="center"/>
    </xf>
    <xf numFmtId="0" fontId="0" fillId="5" borderId="52" xfId="0" applyFill="1" applyBorder="1" applyAlignment="1">
      <alignment horizontal="right" vertical="center"/>
    </xf>
    <xf numFmtId="0" fontId="0" fillId="5" borderId="57" xfId="0" applyFill="1" applyBorder="1" applyAlignment="1">
      <alignment horizontal="right" vertical="center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5" borderId="12" xfId="0" applyFill="1" applyBorder="1" applyAlignment="1" applyProtection="1">
      <alignment horizontal="left" vertical="center"/>
      <protection locked="0"/>
    </xf>
    <xf numFmtId="0" fontId="0" fillId="5" borderId="5" xfId="0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right" vertical="center"/>
    </xf>
    <xf numFmtId="0" fontId="34" fillId="13" borderId="1" xfId="0" applyFont="1" applyFill="1" applyBorder="1" applyAlignment="1">
      <alignment horizontal="center" vertical="center" textRotation="90"/>
    </xf>
    <xf numFmtId="0" fontId="34" fillId="13" borderId="7" xfId="0" applyFont="1" applyFill="1" applyBorder="1" applyAlignment="1">
      <alignment horizontal="center" vertical="center" textRotation="90"/>
    </xf>
    <xf numFmtId="0" fontId="34" fillId="13" borderId="3" xfId="0" applyFont="1" applyFill="1" applyBorder="1" applyAlignment="1">
      <alignment horizontal="center" vertical="center" textRotation="90"/>
    </xf>
    <xf numFmtId="0" fontId="14" fillId="24" borderId="58" xfId="0" applyFont="1" applyFill="1" applyBorder="1" applyAlignment="1">
      <alignment horizontal="center" vertical="center"/>
    </xf>
    <xf numFmtId="2" fontId="35" fillId="17" borderId="48" xfId="0" applyNumberFormat="1" applyFont="1" applyFill="1" applyBorder="1" applyAlignment="1">
      <alignment horizontal="center"/>
    </xf>
    <xf numFmtId="2" fontId="35" fillId="17" borderId="52" xfId="0" applyNumberFormat="1" applyFont="1" applyFill="1" applyBorder="1" applyAlignment="1">
      <alignment horizontal="center"/>
    </xf>
    <xf numFmtId="2" fontId="35" fillId="17" borderId="64" xfId="0" applyNumberFormat="1" applyFont="1" applyFill="1" applyBorder="1" applyAlignment="1">
      <alignment horizontal="center"/>
    </xf>
    <xf numFmtId="1" fontId="18" fillId="20" borderId="65" xfId="0" applyNumberFormat="1" applyFont="1" applyFill="1" applyBorder="1" applyAlignment="1" applyProtection="1">
      <alignment horizontal="center" vertical="center"/>
      <protection locked="0"/>
    </xf>
    <xf numFmtId="1" fontId="18" fillId="20" borderId="51" xfId="0" applyNumberFormat="1" applyFont="1" applyFill="1" applyBorder="1" applyAlignment="1" applyProtection="1">
      <alignment horizontal="center" vertical="center"/>
      <protection locked="0"/>
    </xf>
    <xf numFmtId="1" fontId="18" fillId="20" borderId="66" xfId="0" applyNumberFormat="1" applyFont="1" applyFill="1" applyBorder="1" applyAlignment="1" applyProtection="1">
      <alignment horizontal="center" vertical="center"/>
      <protection locked="0"/>
    </xf>
    <xf numFmtId="0" fontId="14" fillId="24" borderId="29" xfId="0" applyFont="1" applyFill="1" applyBorder="1" applyAlignment="1">
      <alignment horizontal="center" vertical="center"/>
    </xf>
    <xf numFmtId="0" fontId="14" fillId="24" borderId="3" xfId="0" applyFont="1" applyFill="1" applyBorder="1" applyAlignment="1">
      <alignment horizontal="center" vertical="center"/>
    </xf>
    <xf numFmtId="0" fontId="14" fillId="24" borderId="55" xfId="0" applyFont="1" applyFill="1" applyBorder="1" applyAlignment="1">
      <alignment horizontal="center" vertical="center"/>
    </xf>
    <xf numFmtId="0" fontId="0" fillId="9" borderId="33" xfId="0" applyFill="1" applyBorder="1" applyAlignment="1" applyProtection="1">
      <alignment horizontal="center" vertical="center"/>
      <protection/>
    </xf>
    <xf numFmtId="0" fontId="0" fillId="9" borderId="2" xfId="0" applyFill="1" applyBorder="1" applyAlignment="1" applyProtection="1">
      <alignment horizontal="center" vertical="center"/>
      <protection/>
    </xf>
    <xf numFmtId="0" fontId="14" fillId="13" borderId="69" xfId="0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/>
    </xf>
    <xf numFmtId="0" fontId="14" fillId="13" borderId="62" xfId="0" applyFont="1" applyFill="1" applyBorder="1" applyAlignment="1">
      <alignment horizontal="center" vertical="center"/>
    </xf>
    <xf numFmtId="0" fontId="0" fillId="13" borderId="67" xfId="0" applyFill="1" applyBorder="1" applyAlignment="1">
      <alignment horizontal="center" vertical="center"/>
    </xf>
    <xf numFmtId="0" fontId="0" fillId="13" borderId="68" xfId="0" applyFill="1" applyBorder="1" applyAlignment="1">
      <alignment horizontal="center" vertical="center"/>
    </xf>
    <xf numFmtId="0" fontId="0" fillId="13" borderId="39" xfId="0" applyFill="1" applyBorder="1" applyAlignment="1">
      <alignment horizontal="center" vertical="center"/>
    </xf>
    <xf numFmtId="0" fontId="14" fillId="13" borderId="67" xfId="0" applyFont="1" applyFill="1" applyBorder="1" applyAlignment="1">
      <alignment horizontal="center" vertical="center"/>
    </xf>
    <xf numFmtId="0" fontId="14" fillId="13" borderId="68" xfId="0" applyFont="1" applyFill="1" applyBorder="1" applyAlignment="1">
      <alignment horizontal="center" vertical="center"/>
    </xf>
    <xf numFmtId="0" fontId="14" fillId="13" borderId="3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 wrapText="1"/>
    </xf>
    <xf numFmtId="0" fontId="36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justify"/>
    </xf>
    <xf numFmtId="0" fontId="3" fillId="0" borderId="43" xfId="0" applyFont="1" applyBorder="1" applyAlignment="1">
      <alignment horizontal="justify"/>
    </xf>
    <xf numFmtId="0" fontId="1" fillId="3" borderId="1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../../&#1040;&#1088;&#1093;&#1080;&#1074;/Info/&#1056;&#1072;&#1089;&#1095;&#1077;&#1090;.xls" TargetMode="External" /><Relationship Id="rId2" Type="http://schemas.openxmlformats.org/officeDocument/2006/relationships/hyperlink" Target="../../&#1040;&#1088;&#1093;&#1080;&#1074;/Info/&#1056;&#1072;&#1089;&#1095;&#1077;&#1090;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495300</xdr:colOff>
      <xdr:row>2873</xdr:row>
      <xdr:rowOff>133350</xdr:rowOff>
    </xdr:from>
    <xdr:to>
      <xdr:col>5</xdr:col>
      <xdr:colOff>342900</xdr:colOff>
      <xdr:row>2875</xdr:row>
      <xdr:rowOff>123825</xdr:rowOff>
    </xdr:to>
    <xdr:sp>
      <xdr:nvSpPr>
        <xdr:cNvPr id="1" name="Rectangle 6">
          <a:hlinkClick r:id="rId1"/>
        </xdr:cNvPr>
        <xdr:cNvSpPr>
          <a:spLocks/>
        </xdr:cNvSpPr>
      </xdr:nvSpPr>
      <xdr:spPr>
        <a:xfrm>
          <a:off x="2209800" y="454580625"/>
          <a:ext cx="361950" cy="314325"/>
        </a:xfrm>
        <a:prstGeom prst="rect">
          <a:avLst/>
        </a:prstGeom>
        <a:solidFill>
          <a:srgbClr val="ECFBFE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Таблица</a:t>
          </a:r>
        </a:p>
      </xdr:txBody>
    </xdr:sp>
    <xdr:clientData fPrintsWithSheet="0"/>
  </xdr:twoCellAnchor>
  <xdr:twoCellAnchor editAs="absolute">
    <xdr:from>
      <xdr:col>4</xdr:col>
      <xdr:colOff>390525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2" name="Rectangle 7">
          <a:hlinkClick r:id="rId2"/>
        </xdr:cNvPr>
        <xdr:cNvSpPr>
          <a:spLocks/>
        </xdr:cNvSpPr>
      </xdr:nvSpPr>
      <xdr:spPr>
        <a:xfrm>
          <a:off x="2105025" y="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42"/>
  <sheetViews>
    <sheetView tabSelected="1" zoomScale="90" zoomScaleNormal="90" workbookViewId="0" topLeftCell="A10">
      <selection activeCell="C32" sqref="C32"/>
    </sheetView>
  </sheetViews>
  <sheetFormatPr defaultColWidth="9.140625" defaultRowHeight="12.75"/>
  <cols>
    <col min="1" max="1" width="14.140625" style="0" customWidth="1"/>
    <col min="2" max="2" width="25.140625" style="0" customWidth="1"/>
    <col min="3" max="3" width="14.00390625" style="0" customWidth="1"/>
    <col min="4" max="4" width="17.57421875" style="0" customWidth="1"/>
    <col min="5" max="5" width="15.7109375" style="0" customWidth="1"/>
    <col min="6" max="6" width="17.00390625" style="0" customWidth="1"/>
    <col min="7" max="7" width="12.7109375" style="0" customWidth="1"/>
    <col min="8" max="8" width="6.7109375" style="0" customWidth="1"/>
    <col min="9" max="9" width="11.8515625" style="0" customWidth="1"/>
    <col min="10" max="10" width="10.57421875" style="0" customWidth="1"/>
    <col min="11" max="11" width="11.421875" style="0" customWidth="1"/>
  </cols>
  <sheetData>
    <row r="1" spans="6:8" ht="12.75">
      <c r="F1" s="43" t="s">
        <v>34</v>
      </c>
      <c r="G1" s="43" t="s">
        <v>35</v>
      </c>
      <c r="H1" s="43"/>
    </row>
    <row r="2" spans="1:8" ht="12.75">
      <c r="A2" s="44" t="s">
        <v>18</v>
      </c>
      <c r="B2" s="44"/>
      <c r="C2" s="44"/>
      <c r="D2" s="41"/>
      <c r="E2" s="41"/>
      <c r="F2" s="41"/>
      <c r="G2" s="41"/>
      <c r="H2" s="41"/>
    </row>
    <row r="3" spans="1:4" ht="12.75">
      <c r="A3" s="44" t="s">
        <v>15</v>
      </c>
      <c r="B3" s="44"/>
      <c r="C3" s="44"/>
      <c r="D3" s="40"/>
    </row>
    <row r="4" spans="1:4" ht="12.75">
      <c r="A4" s="45" t="s">
        <v>16</v>
      </c>
      <c r="B4" s="45"/>
      <c r="C4" s="45"/>
      <c r="D4" s="47"/>
    </row>
    <row r="5" spans="1:4" ht="12.75">
      <c r="A5" s="45" t="s">
        <v>17</v>
      </c>
      <c r="B5" s="45"/>
      <c r="C5" s="45"/>
      <c r="D5" s="47"/>
    </row>
    <row r="6" spans="1:3" ht="12.75">
      <c r="A6" s="43"/>
      <c r="B6" s="43"/>
      <c r="C6" s="43"/>
    </row>
    <row r="7" spans="1:3" ht="12.75">
      <c r="A7" s="43"/>
      <c r="B7" s="43"/>
      <c r="C7" s="43"/>
    </row>
    <row r="8" spans="1:3" ht="12.75">
      <c r="A8" s="43" t="s">
        <v>19</v>
      </c>
      <c r="B8" s="43"/>
      <c r="C8" s="43"/>
    </row>
    <row r="9" spans="1:4" ht="12.75">
      <c r="A9" s="45" t="s">
        <v>20</v>
      </c>
      <c r="B9" s="45"/>
      <c r="C9" s="45"/>
      <c r="D9" s="46"/>
    </row>
    <row r="10" spans="1:4" ht="12.75">
      <c r="A10" s="45" t="s">
        <v>21</v>
      </c>
      <c r="B10" s="45"/>
      <c r="C10" s="45"/>
      <c r="D10" s="46"/>
    </row>
    <row r="11" spans="1:4" ht="12.75">
      <c r="A11" s="45" t="s">
        <v>22</v>
      </c>
      <c r="B11" s="45"/>
      <c r="C11" s="45"/>
      <c r="D11" s="46"/>
    </row>
    <row r="12" spans="1:4" ht="12.75">
      <c r="A12" s="45" t="s">
        <v>23</v>
      </c>
      <c r="B12" s="45"/>
      <c r="C12" s="45"/>
      <c r="D12" s="46"/>
    </row>
    <row r="13" spans="1:3" ht="12.75">
      <c r="A13" s="43"/>
      <c r="B13" s="43"/>
      <c r="C13" s="43"/>
    </row>
    <row r="14" spans="1:3" ht="12.75">
      <c r="A14" s="43"/>
      <c r="B14" s="43"/>
      <c r="C14" s="43"/>
    </row>
    <row r="15" spans="1:3" ht="12.75">
      <c r="A15" s="43" t="s">
        <v>24</v>
      </c>
      <c r="B15" s="43"/>
      <c r="C15" s="43"/>
    </row>
    <row r="16" spans="1:4" ht="12.75">
      <c r="A16" s="45" t="s">
        <v>25</v>
      </c>
      <c r="B16" s="45"/>
      <c r="C16" s="45"/>
      <c r="D16" s="46"/>
    </row>
    <row r="17" spans="1:4" ht="12.75">
      <c r="A17" s="45" t="s">
        <v>26</v>
      </c>
      <c r="B17" s="45"/>
      <c r="C17" s="45"/>
      <c r="D17" s="46"/>
    </row>
    <row r="18" spans="1:4" ht="12.75">
      <c r="A18" s="45" t="s">
        <v>27</v>
      </c>
      <c r="B18" s="45"/>
      <c r="C18" s="45"/>
      <c r="D18" s="46"/>
    </row>
    <row r="19" spans="1:4" ht="12.75">
      <c r="A19" s="45" t="s">
        <v>23</v>
      </c>
      <c r="B19" s="45"/>
      <c r="C19" s="45"/>
      <c r="D19" s="46"/>
    </row>
    <row r="20" spans="1:3" ht="12.75">
      <c r="A20" s="43"/>
      <c r="B20" s="43"/>
      <c r="C20" s="43"/>
    </row>
    <row r="21" spans="1:3" ht="12.75">
      <c r="A21" s="43"/>
      <c r="B21" s="43"/>
      <c r="C21" s="43"/>
    </row>
    <row r="22" spans="1:3" ht="12.75">
      <c r="A22" s="43" t="s">
        <v>28</v>
      </c>
      <c r="B22" s="43"/>
      <c r="C22" s="43"/>
    </row>
    <row r="23" spans="1:4" ht="12.75">
      <c r="A23" s="45" t="s">
        <v>29</v>
      </c>
      <c r="B23" s="45"/>
      <c r="C23" s="45"/>
      <c r="D23" s="46"/>
    </row>
    <row r="24" spans="1:4" ht="12.75">
      <c r="A24" s="45" t="s">
        <v>30</v>
      </c>
      <c r="B24" s="45"/>
      <c r="C24" s="45"/>
      <c r="D24" s="46"/>
    </row>
    <row r="25" spans="1:4" ht="12.75">
      <c r="A25" s="45" t="s">
        <v>31</v>
      </c>
      <c r="B25" s="45"/>
      <c r="C25" s="45"/>
      <c r="D25" s="46"/>
    </row>
    <row r="26" spans="1:4" ht="12.75">
      <c r="A26" s="45" t="s">
        <v>32</v>
      </c>
      <c r="B26" s="45"/>
      <c r="C26" s="45"/>
      <c r="D26" s="46"/>
    </row>
    <row r="27" spans="1:4" ht="12.75">
      <c r="A27" s="45" t="s">
        <v>33</v>
      </c>
      <c r="B27" s="45"/>
      <c r="C27" s="45"/>
      <c r="D27" s="46"/>
    </row>
    <row r="28" spans="1:11" ht="12.7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1" ht="69.75" customHeight="1">
      <c r="A29" s="328" t="s">
        <v>36</v>
      </c>
      <c r="B29" s="2" t="s">
        <v>37</v>
      </c>
      <c r="C29" s="328" t="s">
        <v>38</v>
      </c>
      <c r="D29" s="328" t="s">
        <v>39</v>
      </c>
      <c r="E29" s="322" t="s">
        <v>40</v>
      </c>
      <c r="F29" s="328" t="s">
        <v>41</v>
      </c>
      <c r="G29" s="328" t="s">
        <v>42</v>
      </c>
      <c r="H29" s="329" t="s">
        <v>43</v>
      </c>
      <c r="I29" s="329"/>
      <c r="J29" s="328" t="s">
        <v>44</v>
      </c>
      <c r="K29" s="131"/>
    </row>
    <row r="30" spans="1:11" ht="19.5" customHeight="1">
      <c r="A30" s="328"/>
      <c r="B30" s="4"/>
      <c r="C30" s="328"/>
      <c r="D30" s="328"/>
      <c r="E30" s="320"/>
      <c r="F30" s="328"/>
      <c r="G30" s="328"/>
      <c r="H30" s="3" t="s">
        <v>45</v>
      </c>
      <c r="I30" s="3" t="s">
        <v>46</v>
      </c>
      <c r="J30" s="328"/>
      <c r="K30" s="131"/>
    </row>
    <row r="31" spans="1:11" ht="19.5" customHeight="1">
      <c r="A31" s="3">
        <v>17</v>
      </c>
      <c r="B31" s="3">
        <v>11</v>
      </c>
      <c r="C31" s="3">
        <v>40</v>
      </c>
      <c r="D31" s="5" t="str">
        <f>VLOOKUP(ПУЭ!AB21,ПУЭ!AC21:AD22,2,FALSE)</f>
        <v>алюминий</v>
      </c>
      <c r="E31" s="3">
        <v>0.92</v>
      </c>
      <c r="F31" s="3">
        <v>123.5</v>
      </c>
      <c r="G31" s="6">
        <v>380</v>
      </c>
      <c r="H31" s="7">
        <f>(100*F31*SQRT(3)*((C31)*0.001*VLOOKUP(A31,ПУЭ!A8:AA28,IF(ПУЭ!AB21,25,13),FALSE)*E31+(C31)*0.001*VLOOKUP(A31,ПУЭ!A8:AA28,IF(OR(B31=1,B31=2,B31=8,B31=9,B31=10,B31=11),26,27),FALSE)*SIN(ACOS(E31))))/G31</f>
        <v>0.58</v>
      </c>
      <c r="I31" s="7">
        <f>G31*H31*0.01</f>
        <v>2.2</v>
      </c>
      <c r="J31" s="3">
        <f>VLOOKUP(A31,ПУЭ!A8:AA28,VLOOKUP(B31,ПУЭ!AE9:AH19,IF(ПУЭ!AB21,4,3),FALSE),FALSE)</f>
        <v>335</v>
      </c>
      <c r="K31" s="131"/>
    </row>
    <row r="32" spans="1:11" ht="19.5" customHeight="1">
      <c r="A32" s="3"/>
      <c r="B32" s="3"/>
      <c r="C32" s="3"/>
      <c r="D32" s="3"/>
      <c r="E32" s="3"/>
      <c r="F32" s="3"/>
      <c r="G32" s="6"/>
      <c r="H32" s="3"/>
      <c r="I32" s="3"/>
      <c r="J32" s="3"/>
      <c r="K32" s="131"/>
    </row>
    <row r="33" spans="1:11" ht="12.7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1:11" ht="12.75">
      <c r="A34" s="131"/>
      <c r="B34" s="131"/>
      <c r="C34" s="131" t="s">
        <v>118</v>
      </c>
      <c r="D34" s="131"/>
      <c r="E34" s="131"/>
      <c r="F34" s="131"/>
      <c r="G34" s="131"/>
      <c r="H34" s="131"/>
      <c r="I34" s="131"/>
      <c r="J34" s="131"/>
      <c r="K34" s="131"/>
    </row>
    <row r="35" spans="1:11" ht="13.5" thickBo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1" ht="27" thickBot="1">
      <c r="A36" s="308" t="s">
        <v>277</v>
      </c>
      <c r="B36" s="309" t="s">
        <v>272</v>
      </c>
      <c r="C36" s="310" t="s">
        <v>273</v>
      </c>
      <c r="D36" s="309" t="s">
        <v>39</v>
      </c>
      <c r="E36" s="309" t="s">
        <v>38</v>
      </c>
      <c r="F36" s="311" t="s">
        <v>274</v>
      </c>
      <c r="G36" s="311" t="s">
        <v>275</v>
      </c>
      <c r="H36" s="332" t="s">
        <v>276</v>
      </c>
      <c r="I36" s="333"/>
      <c r="J36" s="131"/>
      <c r="K36" s="131"/>
    </row>
    <row r="37" spans="1:11" ht="18.75">
      <c r="A37" s="315">
        <v>1</v>
      </c>
      <c r="B37" s="307">
        <v>1</v>
      </c>
      <c r="C37" s="307">
        <v>9</v>
      </c>
      <c r="D37" s="307" t="str">
        <f>VLOOKUP(ПУЭ!AB22,ПУЭ!AC21:AD22,2,FALSE)</f>
        <v>алюминий</v>
      </c>
      <c r="E37" s="312">
        <v>546</v>
      </c>
      <c r="F37" s="303">
        <f>IF(E37&gt;0,(220/ПУЭ!BC6*1000),0)</f>
        <v>285.1</v>
      </c>
      <c r="G37" s="303">
        <f>0.87*H37</f>
        <v>526.7</v>
      </c>
      <c r="H37" s="334">
        <f>IF(E37&gt;0,(380/(SQRT(3)*(ПУЭ!AY6+ПУЭ!AY10+ПУЭ!AV5))*1000),0)</f>
        <v>605.4</v>
      </c>
      <c r="I37" s="323"/>
      <c r="J37" s="131"/>
      <c r="K37" s="131"/>
    </row>
    <row r="38" spans="1:11" ht="18.75">
      <c r="A38" s="316">
        <v>2</v>
      </c>
      <c r="B38" s="326"/>
      <c r="C38" s="305">
        <v>12</v>
      </c>
      <c r="D38" s="305" t="str">
        <f>VLOOKUP(ПУЭ!AB23,ПУЭ!AC21:AD22,2,FALSE)</f>
        <v>медь</v>
      </c>
      <c r="E38" s="313"/>
      <c r="F38" s="303">
        <f>IF(E38&gt;0,(220/ПУЭ!BC7*1000),0)</f>
        <v>0</v>
      </c>
      <c r="G38" s="303">
        <f>0.87*H38</f>
        <v>0</v>
      </c>
      <c r="H38" s="324">
        <f>IF(E38&gt;0,(380/(SQRT(3)*(ПУЭ!AV5+ПУЭ!AY10+ПУЭ!AY6+ПУЭ!AY7))*1000),0)</f>
        <v>0</v>
      </c>
      <c r="I38" s="325"/>
      <c r="J38" s="131"/>
      <c r="K38" s="131"/>
    </row>
    <row r="39" spans="1:11" ht="18.75">
      <c r="A39" s="316">
        <v>3</v>
      </c>
      <c r="B39" s="326"/>
      <c r="C39" s="305">
        <v>17</v>
      </c>
      <c r="D39" s="305" t="str">
        <f>VLOOKUP(ПУЭ!AB24,ПУЭ!AC21:AD22,2,FALSE)</f>
        <v>медь</v>
      </c>
      <c r="E39" s="313"/>
      <c r="F39" s="303">
        <f>IF(E39&gt;0,(220/ПУЭ!BC8*1000),0)</f>
        <v>0</v>
      </c>
      <c r="G39" s="303">
        <f>0.87*H39</f>
        <v>0</v>
      </c>
      <c r="H39" s="324">
        <f>IF(E39&gt;0,(380/(SQRT(3)*(ПУЭ!AV5+ПУЭ!AY10+ПУЭ!AY6+ПУЭ!AY7+ПУЭ!AY8))*1000),0)</f>
        <v>0</v>
      </c>
      <c r="I39" s="325"/>
      <c r="J39" s="131"/>
      <c r="K39" s="131"/>
    </row>
    <row r="40" spans="1:11" ht="19.5" thickBot="1">
      <c r="A40" s="317">
        <v>4</v>
      </c>
      <c r="B40" s="327"/>
      <c r="C40" s="306">
        <v>16</v>
      </c>
      <c r="D40" s="306" t="str">
        <f>VLOOKUP(ПУЭ!AB25,ПУЭ!AC21:AD22,2,FALSE)</f>
        <v>медь</v>
      </c>
      <c r="E40" s="314"/>
      <c r="F40" s="303">
        <f>IF(E40&gt;0,(220/ПУЭ!BC9*1000),0)</f>
        <v>0</v>
      </c>
      <c r="G40" s="303">
        <f>0.87*H40</f>
        <v>0</v>
      </c>
      <c r="H40" s="330">
        <f>IF(E40&gt;0,(380/(SQRT(3)*(ПУЭ!AV5+ПУЭ!AY10+ПУЭ!AY6+ПУЭ!AY7+ПУЭ!AY8+ПУЭ!AY9))*1000),0)</f>
        <v>0</v>
      </c>
      <c r="I40" s="331"/>
      <c r="J40" s="131"/>
      <c r="K40" s="131"/>
    </row>
    <row r="41" spans="1:11" ht="12.7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</row>
    <row r="42" spans="1:11" ht="12.7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</sheetData>
  <mergeCells count="14">
    <mergeCell ref="A29:A30"/>
    <mergeCell ref="C29:C30"/>
    <mergeCell ref="D29:D30"/>
    <mergeCell ref="F29:F30"/>
    <mergeCell ref="E29:E30"/>
    <mergeCell ref="B38:B40"/>
    <mergeCell ref="J29:J30"/>
    <mergeCell ref="G29:G30"/>
    <mergeCell ref="H29:I29"/>
    <mergeCell ref="H40:I40"/>
    <mergeCell ref="H36:I36"/>
    <mergeCell ref="H37:I37"/>
    <mergeCell ref="H38:I38"/>
    <mergeCell ref="H39:I3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V128"/>
  <sheetViews>
    <sheetView zoomScale="96" zoomScaleNormal="96" workbookViewId="0" topLeftCell="D1">
      <selection activeCell="I81" sqref="I81"/>
    </sheetView>
  </sheetViews>
  <sheetFormatPr defaultColWidth="9.140625" defaultRowHeight="12.75"/>
  <cols>
    <col min="1" max="1" width="9.00390625" style="131" hidden="1" customWidth="1"/>
    <col min="2" max="2" width="6.8515625" style="131" hidden="1" customWidth="1"/>
    <col min="3" max="3" width="13.00390625" style="131" hidden="1" customWidth="1"/>
    <col min="4" max="4" width="25.7109375" style="0" customWidth="1"/>
    <col min="5" max="6" width="7.7109375" style="0" customWidth="1"/>
    <col min="7" max="7" width="15.28125" style="0" customWidth="1"/>
    <col min="8" max="8" width="10.00390625" style="0" customWidth="1"/>
    <col min="9" max="14" width="7.7109375" style="0" customWidth="1"/>
    <col min="15" max="15" width="8.57421875" style="0" customWidth="1"/>
    <col min="16" max="16" width="8.28125" style="0" customWidth="1"/>
    <col min="17" max="21" width="7.7109375" style="0" customWidth="1"/>
    <col min="23" max="23" width="7.28125" style="0" customWidth="1"/>
    <col min="25" max="25" width="36.57421875" style="0" customWidth="1"/>
    <col min="32" max="32" width="27.421875" style="0" customWidth="1"/>
    <col min="36" max="36" width="10.8515625" style="0" bestFit="1" customWidth="1"/>
  </cols>
  <sheetData>
    <row r="1" s="131" customFormat="1" ht="12" customHeight="1" thickBot="1">
      <c r="E1" s="141"/>
    </row>
    <row r="2" s="131" customFormat="1" ht="12.75" customHeight="1" hidden="1">
      <c r="E2" s="141" t="s">
        <v>0</v>
      </c>
    </row>
    <row r="3" s="131" customFormat="1" ht="13.5" customHeight="1" hidden="1" thickBot="1">
      <c r="E3" s="141" t="s">
        <v>1</v>
      </c>
    </row>
    <row r="4" spans="3:33" s="131" customFormat="1" ht="13.5" customHeight="1" hidden="1" thickBot="1">
      <c r="C4" s="132" t="s">
        <v>2</v>
      </c>
      <c r="D4" s="142" t="s">
        <v>3</v>
      </c>
      <c r="E4" s="423" t="s">
        <v>4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5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3:33" s="131" customFormat="1" ht="24.75" customHeight="1" hidden="1" thickBot="1">
      <c r="C5" s="133" t="s">
        <v>5</v>
      </c>
      <c r="D5" s="144" t="s">
        <v>6</v>
      </c>
      <c r="E5" s="143">
        <v>3</v>
      </c>
      <c r="F5" s="143">
        <v>6</v>
      </c>
      <c r="G5" s="143">
        <v>9</v>
      </c>
      <c r="H5" s="143">
        <v>12</v>
      </c>
      <c r="I5" s="143">
        <v>15</v>
      </c>
      <c r="J5" s="143">
        <v>18</v>
      </c>
      <c r="K5" s="143">
        <v>24</v>
      </c>
      <c r="L5" s="143">
        <v>40</v>
      </c>
      <c r="M5" s="143">
        <v>60</v>
      </c>
      <c r="N5" s="143">
        <v>100</v>
      </c>
      <c r="O5" s="143">
        <v>200</v>
      </c>
      <c r="P5" s="143">
        <v>400</v>
      </c>
      <c r="Q5" s="143">
        <v>600</v>
      </c>
      <c r="R5" s="143">
        <v>1000</v>
      </c>
      <c r="T5" s="51"/>
      <c r="U5" s="51"/>
      <c r="V5" s="51"/>
      <c r="W5" s="51">
        <v>10</v>
      </c>
      <c r="X5" s="51"/>
      <c r="Y5" s="145"/>
      <c r="Z5" s="51"/>
      <c r="AA5" s="51"/>
      <c r="AB5" s="51"/>
      <c r="AC5" s="51"/>
      <c r="AD5" s="51"/>
      <c r="AE5" s="51"/>
      <c r="AF5" s="51"/>
      <c r="AG5" s="51"/>
    </row>
    <row r="6" spans="3:33" s="131" customFormat="1" ht="24.75" customHeight="1" hidden="1">
      <c r="C6" s="134">
        <v>2</v>
      </c>
      <c r="D6" s="146" t="s">
        <v>7</v>
      </c>
      <c r="E6" s="147">
        <v>4.5</v>
      </c>
      <c r="F6" s="147">
        <v>2.8</v>
      </c>
      <c r="G6" s="147">
        <v>2.3</v>
      </c>
      <c r="H6" s="147">
        <v>2</v>
      </c>
      <c r="I6" s="147">
        <v>1.8</v>
      </c>
      <c r="J6" s="147">
        <v>1.65</v>
      </c>
      <c r="K6" s="147">
        <v>1.4</v>
      </c>
      <c r="L6" s="147">
        <v>1.2</v>
      </c>
      <c r="M6" s="147">
        <v>1.05</v>
      </c>
      <c r="N6" s="147">
        <v>0.85</v>
      </c>
      <c r="O6" s="147">
        <v>0.77</v>
      </c>
      <c r="P6" s="147">
        <v>0.71</v>
      </c>
      <c r="Q6" s="147">
        <v>0.69</v>
      </c>
      <c r="R6" s="147">
        <v>0.67</v>
      </c>
      <c r="T6" s="51"/>
      <c r="U6" s="51"/>
      <c r="V6" s="51"/>
      <c r="W6" s="51"/>
      <c r="X6" s="51"/>
      <c r="Y6" s="145"/>
      <c r="Z6" s="51"/>
      <c r="AA6" s="51"/>
      <c r="AB6" s="51"/>
      <c r="AC6" s="51"/>
      <c r="AD6" s="51"/>
      <c r="AE6" s="51"/>
      <c r="AF6" s="51"/>
      <c r="AG6" s="51"/>
    </row>
    <row r="7" spans="3:33" s="131" customFormat="1" ht="24.75" customHeight="1" hidden="1">
      <c r="C7" s="134">
        <v>3</v>
      </c>
      <c r="D7" s="146" t="s">
        <v>8</v>
      </c>
      <c r="E7" s="147">
        <v>6</v>
      </c>
      <c r="F7" s="147">
        <v>3.4</v>
      </c>
      <c r="G7" s="147">
        <v>2.9</v>
      </c>
      <c r="H7" s="147">
        <v>2.5</v>
      </c>
      <c r="I7" s="147">
        <v>2.2</v>
      </c>
      <c r="J7" s="147">
        <v>2</v>
      </c>
      <c r="K7" s="147">
        <v>1.8</v>
      </c>
      <c r="L7" s="147">
        <v>1.4</v>
      </c>
      <c r="M7" s="147">
        <v>1.3</v>
      </c>
      <c r="N7" s="147">
        <v>1.08</v>
      </c>
      <c r="O7" s="147">
        <v>1</v>
      </c>
      <c r="P7" s="147">
        <v>0.92</v>
      </c>
      <c r="Q7" s="147">
        <v>0.84</v>
      </c>
      <c r="R7" s="147">
        <v>0.76</v>
      </c>
      <c r="T7" s="51"/>
      <c r="U7" s="51"/>
      <c r="V7" s="51"/>
      <c r="W7" s="51"/>
      <c r="X7" s="51"/>
      <c r="Y7" s="145"/>
      <c r="Z7" s="51"/>
      <c r="AA7" s="51"/>
      <c r="AB7" s="51"/>
      <c r="AC7" s="51"/>
      <c r="AD7" s="51"/>
      <c r="AE7" s="51"/>
      <c r="AF7" s="51"/>
      <c r="AG7" s="51"/>
    </row>
    <row r="8" spans="3:33" s="131" customFormat="1" ht="24.75" customHeight="1" hidden="1" thickBot="1">
      <c r="C8" s="134">
        <v>4</v>
      </c>
      <c r="D8" s="148" t="s">
        <v>9</v>
      </c>
      <c r="E8" s="149">
        <v>10</v>
      </c>
      <c r="F8" s="149">
        <v>5.1</v>
      </c>
      <c r="G8" s="149">
        <v>3.8</v>
      </c>
      <c r="H8" s="149">
        <v>3.2</v>
      </c>
      <c r="I8" s="149">
        <v>2.8</v>
      </c>
      <c r="J8" s="149">
        <v>2.6</v>
      </c>
      <c r="K8" s="149">
        <v>2.2</v>
      </c>
      <c r="L8" s="149">
        <v>1.95</v>
      </c>
      <c r="M8" s="149">
        <v>1.7</v>
      </c>
      <c r="N8" s="149">
        <v>1.5</v>
      </c>
      <c r="O8" s="149">
        <v>1.36</v>
      </c>
      <c r="P8" s="149">
        <v>1.27</v>
      </c>
      <c r="Q8" s="149">
        <v>1.23</v>
      </c>
      <c r="R8" s="149">
        <v>1.19</v>
      </c>
      <c r="T8" s="51"/>
      <c r="U8" s="51"/>
      <c r="V8" s="51"/>
      <c r="W8" s="51"/>
      <c r="X8" s="51"/>
      <c r="Y8" s="145"/>
      <c r="Z8" s="51"/>
      <c r="AA8" s="51"/>
      <c r="AB8" s="51"/>
      <c r="AC8" s="51"/>
      <c r="AD8" s="51"/>
      <c r="AE8" s="51"/>
      <c r="AF8" s="51"/>
      <c r="AG8" s="51"/>
    </row>
    <row r="9" spans="3:33" s="131" customFormat="1" ht="24.75" customHeight="1" hidden="1" thickBot="1">
      <c r="C9" s="134">
        <v>5</v>
      </c>
      <c r="D9" s="146" t="s">
        <v>10</v>
      </c>
      <c r="E9" s="147">
        <v>14</v>
      </c>
      <c r="F9" s="147">
        <v>8.1</v>
      </c>
      <c r="G9" s="147">
        <v>6.7</v>
      </c>
      <c r="H9" s="147">
        <v>5.9</v>
      </c>
      <c r="I9" s="147">
        <v>5.3</v>
      </c>
      <c r="J9" s="147">
        <v>4.9</v>
      </c>
      <c r="K9" s="147">
        <v>4.2</v>
      </c>
      <c r="L9" s="147">
        <v>3.3</v>
      </c>
      <c r="M9" s="147">
        <v>2.8</v>
      </c>
      <c r="N9" s="147">
        <v>1.95</v>
      </c>
      <c r="O9" s="147">
        <v>1.83</v>
      </c>
      <c r="P9" s="147">
        <v>1.72</v>
      </c>
      <c r="Q9" s="147">
        <v>1.67</v>
      </c>
      <c r="R9" s="147">
        <v>1.62</v>
      </c>
      <c r="T9" s="51"/>
      <c r="U9" s="51"/>
      <c r="V9" s="51"/>
      <c r="W9" s="51"/>
      <c r="X9" s="51"/>
      <c r="Y9" s="145"/>
      <c r="Z9" s="51"/>
      <c r="AA9" s="51"/>
      <c r="AB9" s="51"/>
      <c r="AC9" s="51"/>
      <c r="AD9" s="51"/>
      <c r="AE9" s="51"/>
      <c r="AF9" s="51"/>
      <c r="AG9" s="51"/>
    </row>
    <row r="10" spans="3:33" s="131" customFormat="1" ht="24.75" customHeight="1" hidden="1" thickBot="1">
      <c r="C10" s="133">
        <v>6</v>
      </c>
      <c r="D10" s="150" t="s">
        <v>11</v>
      </c>
      <c r="E10" s="151">
        <v>4</v>
      </c>
      <c r="F10" s="151">
        <v>2.3</v>
      </c>
      <c r="G10" s="151">
        <v>1.7</v>
      </c>
      <c r="H10" s="151">
        <v>1.4</v>
      </c>
      <c r="I10" s="151">
        <v>1.2</v>
      </c>
      <c r="J10" s="151">
        <v>1.1</v>
      </c>
      <c r="K10" s="151">
        <v>0.9</v>
      </c>
      <c r="L10" s="151">
        <v>0.76</v>
      </c>
      <c r="M10" s="151">
        <v>0.69</v>
      </c>
      <c r="N10" s="151">
        <v>0.61</v>
      </c>
      <c r="O10" s="151">
        <v>0.58</v>
      </c>
      <c r="P10" s="151">
        <v>0.54</v>
      </c>
      <c r="Q10" s="151">
        <v>0.51</v>
      </c>
      <c r="R10" s="151">
        <v>0.46</v>
      </c>
      <c r="T10" s="51"/>
      <c r="U10" s="51"/>
      <c r="V10" s="51"/>
      <c r="W10" s="51"/>
      <c r="X10" s="51"/>
      <c r="Y10" s="145"/>
      <c r="Z10" s="51"/>
      <c r="AA10" s="51"/>
      <c r="AB10" s="51"/>
      <c r="AC10" s="51"/>
      <c r="AD10" s="51"/>
      <c r="AE10" s="51"/>
      <c r="AF10" s="51"/>
      <c r="AG10" s="51"/>
    </row>
    <row r="11" spans="3:34" s="131" customFormat="1" ht="24.75" customHeight="1" hidden="1">
      <c r="C11" s="135" t="s">
        <v>12</v>
      </c>
      <c r="T11" s="51"/>
      <c r="U11" s="51"/>
      <c r="V11" s="51"/>
      <c r="W11" s="51"/>
      <c r="AE11" s="347" t="s">
        <v>249</v>
      </c>
      <c r="AF11" s="347"/>
      <c r="AG11" s="347"/>
      <c r="AH11" s="347"/>
    </row>
    <row r="12" spans="3:34" s="131" customFormat="1" ht="12.75" customHeight="1" hidden="1">
      <c r="C12" s="136" t="s">
        <v>13</v>
      </c>
      <c r="T12" s="51"/>
      <c r="U12" s="51"/>
      <c r="V12" s="51"/>
      <c r="W12" s="51"/>
      <c r="AE12" s="347"/>
      <c r="AF12" s="347"/>
      <c r="AG12" s="347"/>
      <c r="AH12" s="347"/>
    </row>
    <row r="13" spans="3:41" s="131" customFormat="1" ht="12.75" customHeight="1" hidden="1">
      <c r="C13" s="136" t="s">
        <v>14</v>
      </c>
      <c r="T13" s="51"/>
      <c r="U13" s="51"/>
      <c r="V13" s="51"/>
      <c r="W13" s="51"/>
      <c r="AE13" s="347"/>
      <c r="AF13" s="347"/>
      <c r="AG13" s="347"/>
      <c r="AH13" s="347"/>
      <c r="AJ13" s="131" t="s">
        <v>95</v>
      </c>
      <c r="AL13" s="73" t="e">
        <f>AJ18-(AJ15-AJ17)*((AJ18-AK18)/IF(AJ17=AK17,100,(AK17-AJ17)))</f>
        <v>#N/A</v>
      </c>
      <c r="AM13" s="352" t="e">
        <f>IF(Q88&lt;12,AL13,AO13)</f>
        <v>#N/A</v>
      </c>
      <c r="AN13" s="352"/>
      <c r="AO13" s="73" t="e">
        <f>AM18-(AJ15-AM17)*((AM18-AN18)/IF(AM17=AN17,100,(AN17-AM17)))</f>
        <v>#N/A</v>
      </c>
    </row>
    <row r="14" spans="20:34" s="131" customFormat="1" ht="13.5" customHeight="1" hidden="1" thickBot="1">
      <c r="T14" s="51"/>
      <c r="U14" s="51"/>
      <c r="V14" s="51"/>
      <c r="W14" s="51"/>
      <c r="AE14" s="348"/>
      <c r="AF14" s="348"/>
      <c r="AG14" s="348"/>
      <c r="AH14" s="348"/>
    </row>
    <row r="15" spans="20:45" s="131" customFormat="1" ht="12.75" customHeight="1" hidden="1">
      <c r="T15" s="51"/>
      <c r="U15" s="51"/>
      <c r="V15" s="51"/>
      <c r="W15" s="51"/>
      <c r="AE15" s="364" t="s">
        <v>233</v>
      </c>
      <c r="AF15" s="366" t="s">
        <v>234</v>
      </c>
      <c r="AG15" s="368" t="s">
        <v>235</v>
      </c>
      <c r="AH15" s="369"/>
      <c r="AJ15" s="152">
        <f>SUM(Q89,U89)</f>
        <v>0</v>
      </c>
      <c r="AK15" s="131" t="e">
        <f>MATCH(AJ18,AG17:AG25,FALSE)</f>
        <v>#N/A</v>
      </c>
      <c r="AP15" s="152"/>
      <c r="AR15" s="152"/>
      <c r="AS15" s="131" t="e">
        <f>MATCH(AR18,AG17:AG25,FALSE)</f>
        <v>#N/A</v>
      </c>
    </row>
    <row r="16" spans="20:34" s="131" customFormat="1" ht="13.5" customHeight="1" hidden="1" thickBot="1">
      <c r="T16" s="51"/>
      <c r="U16" s="51"/>
      <c r="V16" s="51"/>
      <c r="W16" s="51"/>
      <c r="AE16" s="365"/>
      <c r="AF16" s="367"/>
      <c r="AG16" s="153" t="s">
        <v>236</v>
      </c>
      <c r="AH16" s="154" t="s">
        <v>237</v>
      </c>
    </row>
    <row r="17" spans="20:48" s="131" customFormat="1" ht="12.75" customHeight="1" hidden="1">
      <c r="T17" s="51"/>
      <c r="U17" s="51"/>
      <c r="V17" s="51"/>
      <c r="W17" s="51"/>
      <c r="AE17" s="155">
        <v>1</v>
      </c>
      <c r="AF17" s="156">
        <v>1</v>
      </c>
      <c r="AG17" s="157">
        <v>1</v>
      </c>
      <c r="AH17" s="158">
        <v>1</v>
      </c>
      <c r="AJ17" s="131" t="e">
        <f>VLOOKUP(AJ15,AF17:AF25,1,TRUE)</f>
        <v>#N/A</v>
      </c>
      <c r="AK17" s="131" t="e">
        <f>VLOOKUP(AK15+1,AE17:AH25,2,TRUE)</f>
        <v>#N/A</v>
      </c>
      <c r="AM17" s="131" t="e">
        <f>VLOOKUP(AJ15,AF17:AF25,1,TRUE)</f>
        <v>#N/A</v>
      </c>
      <c r="AN17" s="131" t="e">
        <f>VLOOKUP(AK15+1,AE17:AH25,2,TRUE)</f>
        <v>#N/A</v>
      </c>
      <c r="AR17" s="131" t="e">
        <f>VLOOKUP(AJ15,AF17:AF25,1,TRUE)</f>
        <v>#N/A</v>
      </c>
      <c r="AS17" s="131" t="e">
        <f>VLOOKUP(AS15+1,AE17:AH25,2,TRUE)</f>
        <v>#N/A</v>
      </c>
      <c r="AU17" s="131" t="e">
        <f>VLOOKUP(AJ15,AF17:AF25,1,TRUE)</f>
        <v>#N/A</v>
      </c>
      <c r="AV17" s="131" t="e">
        <f>VLOOKUP(AS15+1,AE17:AH25,2,TRUE)</f>
        <v>#N/A</v>
      </c>
    </row>
    <row r="18" spans="20:48" s="131" customFormat="1" ht="12.75" customHeight="1" hidden="1">
      <c r="T18" s="51"/>
      <c r="U18" s="51"/>
      <c r="V18" s="51"/>
      <c r="W18" s="51"/>
      <c r="AE18" s="159">
        <v>2</v>
      </c>
      <c r="AF18" s="160">
        <v>2</v>
      </c>
      <c r="AG18" s="161">
        <v>0.8</v>
      </c>
      <c r="AH18" s="162">
        <v>0.9</v>
      </c>
      <c r="AJ18" s="131" t="e">
        <f>VLOOKUP(AJ17,AF17:AH25,2,FALSE)</f>
        <v>#N/A</v>
      </c>
      <c r="AK18" s="131" t="e">
        <f>VLOOKUP(AK17,AF17:AH25,2,FALSE)</f>
        <v>#N/A</v>
      </c>
      <c r="AM18" s="131" t="e">
        <f>VLOOKUP(AM17,AF17:AH25,3,FALSE)</f>
        <v>#N/A</v>
      </c>
      <c r="AN18" s="131" t="e">
        <f>VLOOKUP(AN17,AF17:AH25,3,FALSE)</f>
        <v>#N/A</v>
      </c>
      <c r="AR18" s="131" t="e">
        <f>VLOOKUP(AR17,AF17:AH25,2,FALSE)</f>
        <v>#N/A</v>
      </c>
      <c r="AS18" s="131" t="e">
        <f>VLOOKUP(AS17,AF17:AH25,2,FALSE)</f>
        <v>#N/A</v>
      </c>
      <c r="AU18" s="131" t="e">
        <f>VLOOKUP(AU17,AF17:AH25,3,FALSE)</f>
        <v>#N/A</v>
      </c>
      <c r="AV18" s="131" t="e">
        <f>VLOOKUP(AV17,AF17:AH25,3,FALSE)</f>
        <v>#N/A</v>
      </c>
    </row>
    <row r="19" spans="20:34" s="131" customFormat="1" ht="12.75" customHeight="1" hidden="1">
      <c r="T19" s="51"/>
      <c r="U19" s="51"/>
      <c r="V19" s="51"/>
      <c r="W19" s="51"/>
      <c r="AE19" s="163">
        <v>3</v>
      </c>
      <c r="AF19" s="160">
        <v>3</v>
      </c>
      <c r="AG19" s="161">
        <v>0.8</v>
      </c>
      <c r="AH19" s="162">
        <v>0.9</v>
      </c>
    </row>
    <row r="20" spans="20:34" s="131" customFormat="1" ht="13.5" customHeight="1" hidden="1" thickBot="1">
      <c r="T20" s="51"/>
      <c r="U20" s="51"/>
      <c r="V20" s="51"/>
      <c r="W20" s="51"/>
      <c r="AE20" s="159">
        <v>4</v>
      </c>
      <c r="AF20" s="164">
        <v>4</v>
      </c>
      <c r="AG20" s="161">
        <v>0.7</v>
      </c>
      <c r="AH20" s="162">
        <v>0.8</v>
      </c>
    </row>
    <row r="21" spans="20:38" s="131" customFormat="1" ht="12.75" customHeight="1" hidden="1">
      <c r="T21" s="51"/>
      <c r="U21" s="51"/>
      <c r="V21" s="51"/>
      <c r="W21" s="51"/>
      <c r="AE21" s="163">
        <v>5</v>
      </c>
      <c r="AF21" s="164">
        <v>5</v>
      </c>
      <c r="AG21" s="161">
        <v>0.7</v>
      </c>
      <c r="AH21" s="162">
        <v>0.8</v>
      </c>
      <c r="AI21" s="353" t="s">
        <v>250</v>
      </c>
      <c r="AJ21" s="354"/>
      <c r="AK21" s="354"/>
      <c r="AL21" s="355"/>
    </row>
    <row r="22" spans="20:38" s="131" customFormat="1" ht="12.75" customHeight="1" hidden="1">
      <c r="T22" s="51"/>
      <c r="U22" s="51"/>
      <c r="V22" s="51"/>
      <c r="W22" s="51"/>
      <c r="AE22" s="159">
        <v>6</v>
      </c>
      <c r="AF22" s="164">
        <v>6</v>
      </c>
      <c r="AG22" s="161">
        <v>0.65</v>
      </c>
      <c r="AH22" s="162">
        <v>0.75</v>
      </c>
      <c r="AI22" s="356"/>
      <c r="AJ22" s="357"/>
      <c r="AK22" s="357"/>
      <c r="AL22" s="358"/>
    </row>
    <row r="23" spans="20:38" s="131" customFormat="1" ht="12.75" customHeight="1" hidden="1">
      <c r="T23" s="51"/>
      <c r="U23" s="51"/>
      <c r="V23" s="51"/>
      <c r="W23" s="51"/>
      <c r="AE23" s="163">
        <v>7</v>
      </c>
      <c r="AF23" s="164">
        <v>10</v>
      </c>
      <c r="AG23" s="161">
        <v>0.5</v>
      </c>
      <c r="AH23" s="162">
        <v>0.6</v>
      </c>
      <c r="AI23" s="356"/>
      <c r="AJ23" s="357"/>
      <c r="AK23" s="357"/>
      <c r="AL23" s="358"/>
    </row>
    <row r="24" spans="20:38" s="131" customFormat="1" ht="12.75" customHeight="1" hidden="1">
      <c r="T24" s="51"/>
      <c r="U24" s="51"/>
      <c r="V24" s="51"/>
      <c r="W24" s="51"/>
      <c r="AE24" s="159">
        <v>8</v>
      </c>
      <c r="AF24" s="164">
        <v>20</v>
      </c>
      <c r="AG24" s="161">
        <v>0.4</v>
      </c>
      <c r="AH24" s="162">
        <v>0.5</v>
      </c>
      <c r="AI24" s="356"/>
      <c r="AJ24" s="357"/>
      <c r="AK24" s="357"/>
      <c r="AL24" s="358"/>
    </row>
    <row r="25" spans="20:38" s="131" customFormat="1" ht="13.5" customHeight="1" hidden="1" thickBot="1">
      <c r="T25" s="51"/>
      <c r="U25" s="51"/>
      <c r="V25" s="51"/>
      <c r="W25" s="51"/>
      <c r="AE25" s="165">
        <v>9</v>
      </c>
      <c r="AF25" s="166">
        <v>25</v>
      </c>
      <c r="AG25" s="167">
        <v>0.35</v>
      </c>
      <c r="AH25" s="168">
        <v>0.4</v>
      </c>
      <c r="AI25" s="359"/>
      <c r="AJ25" s="360"/>
      <c r="AK25" s="360"/>
      <c r="AL25" s="361"/>
    </row>
    <row r="26" spans="20:23" s="131" customFormat="1" ht="12.75" customHeight="1" hidden="1">
      <c r="T26" s="51"/>
      <c r="U26" s="51"/>
      <c r="V26" s="51"/>
      <c r="W26" s="51"/>
    </row>
    <row r="27" spans="4:23" s="131" customFormat="1" ht="12.75" customHeight="1" hidden="1">
      <c r="D27" s="131" t="s">
        <v>95</v>
      </c>
      <c r="G27" s="51" t="e">
        <f>HLOOKUP(IF(B69&gt;0,B69,B83),E5:R5,1,TRUE)</f>
        <v>#N/A</v>
      </c>
      <c r="H27" s="131" t="e">
        <f>INDEX(E5:R5,1,H28)</f>
        <v>#N/A</v>
      </c>
      <c r="K27" s="131" t="e">
        <f>HLOOKUP(G27,E5:R10,2,TRUE)</f>
        <v>#N/A</v>
      </c>
      <c r="L27" s="131" t="e">
        <f>HLOOKUP(H27,E5:R10,2,TRUE)</f>
        <v>#N/A</v>
      </c>
      <c r="O27" s="131" t="e">
        <f>HLOOKUP(IF(B73&gt;0,B73,B87),E5:R5,1,TRUE)</f>
        <v>#N/A</v>
      </c>
      <c r="P27" s="131" t="e">
        <f>INDEX(E5:R5,1,P28)</f>
        <v>#N/A</v>
      </c>
      <c r="S27" s="131" t="e">
        <f>HLOOKUP(O27,E5:R10,4,TRUE)</f>
        <v>#N/A</v>
      </c>
      <c r="T27" s="51" t="e">
        <f>HLOOKUP(P27,E5:R10,4,TRUE)</f>
        <v>#N/A</v>
      </c>
      <c r="U27" s="51"/>
      <c r="V27" s="51"/>
      <c r="W27" s="51"/>
    </row>
    <row r="28" spans="7:34" s="131" customFormat="1" ht="12.75" customHeight="1" hidden="1">
      <c r="G28" s="131" t="e">
        <f>MATCH(G27,E5:R5,0)</f>
        <v>#N/A</v>
      </c>
      <c r="H28" s="131" t="e">
        <f>G28+1</f>
        <v>#N/A</v>
      </c>
      <c r="O28" s="131" t="e">
        <f>MATCH(O27,E5:R5,0)</f>
        <v>#N/A</v>
      </c>
      <c r="P28" s="131" t="e">
        <f>O28+1</f>
        <v>#N/A</v>
      </c>
      <c r="T28" s="51"/>
      <c r="U28" s="51"/>
      <c r="V28" s="51"/>
      <c r="W28" s="51"/>
      <c r="AE28" s="384" t="s">
        <v>248</v>
      </c>
      <c r="AF28" s="385"/>
      <c r="AG28" s="385"/>
      <c r="AH28" s="386"/>
    </row>
    <row r="29" spans="20:34" s="131" customFormat="1" ht="12.75" customHeight="1" hidden="1">
      <c r="T29" s="51"/>
      <c r="U29" s="51"/>
      <c r="V29" s="51"/>
      <c r="W29" s="51"/>
      <c r="AE29" s="387"/>
      <c r="AF29" s="347"/>
      <c r="AG29" s="347"/>
      <c r="AH29" s="388"/>
    </row>
    <row r="30" spans="31:34" s="131" customFormat="1" ht="12.75" customHeight="1" hidden="1">
      <c r="AE30" s="387"/>
      <c r="AF30" s="347"/>
      <c r="AG30" s="347"/>
      <c r="AH30" s="388"/>
    </row>
    <row r="31" spans="31:34" s="131" customFormat="1" ht="12.75" customHeight="1" hidden="1">
      <c r="AE31" s="387"/>
      <c r="AF31" s="347"/>
      <c r="AG31" s="347"/>
      <c r="AH31" s="388"/>
    </row>
    <row r="32" spans="31:34" s="131" customFormat="1" ht="12.75" customHeight="1" hidden="1">
      <c r="AE32" s="389"/>
      <c r="AF32" s="390"/>
      <c r="AG32" s="390"/>
      <c r="AH32" s="391"/>
    </row>
    <row r="33" spans="3:34" s="131" customFormat="1" ht="12.75" customHeight="1" hidden="1">
      <c r="C33" s="137"/>
      <c r="D33" s="169"/>
      <c r="E33" s="169"/>
      <c r="F33" s="169"/>
      <c r="G33" s="169"/>
      <c r="H33" s="169"/>
      <c r="I33" s="169"/>
      <c r="J33" s="169"/>
      <c r="K33" s="169"/>
      <c r="L33" s="170"/>
      <c r="M33" s="169"/>
      <c r="N33" s="169"/>
      <c r="O33" s="169"/>
      <c r="P33" s="169"/>
      <c r="Q33" s="169"/>
      <c r="R33" s="169"/>
      <c r="S33" s="169"/>
      <c r="T33" s="170"/>
      <c r="AE33" s="376" t="s">
        <v>233</v>
      </c>
      <c r="AF33" s="378" t="s">
        <v>238</v>
      </c>
      <c r="AG33" s="380" t="s">
        <v>239</v>
      </c>
      <c r="AH33" s="381"/>
    </row>
    <row r="34" spans="3:34" s="131" customFormat="1" ht="13.5" customHeight="1" hidden="1" thickBot="1">
      <c r="C34" s="50"/>
      <c r="D34" s="429" t="s">
        <v>122</v>
      </c>
      <c r="E34" s="430"/>
      <c r="F34" s="431"/>
      <c r="G34" s="51"/>
      <c r="H34" s="51"/>
      <c r="I34" s="51"/>
      <c r="J34" s="51"/>
      <c r="K34" s="51"/>
      <c r="L34" s="171"/>
      <c r="M34" s="172" t="s">
        <v>123</v>
      </c>
      <c r="N34" s="173"/>
      <c r="O34" s="51"/>
      <c r="P34" s="51"/>
      <c r="Q34" s="51"/>
      <c r="R34" s="51"/>
      <c r="S34" s="51"/>
      <c r="T34" s="174"/>
      <c r="AE34" s="377"/>
      <c r="AF34" s="379"/>
      <c r="AG34" s="382"/>
      <c r="AH34" s="383"/>
    </row>
    <row r="35" spans="3:34" s="131" customFormat="1" ht="12.75" customHeight="1" hidden="1">
      <c r="C35" s="50"/>
      <c r="D35" s="427" t="s">
        <v>4</v>
      </c>
      <c r="E35" s="428"/>
      <c r="F35" s="175">
        <v>10</v>
      </c>
      <c r="G35" s="51" t="e">
        <f>HLOOKUP(Q74,E5:R5,1,TRUE)</f>
        <v>#N/A</v>
      </c>
      <c r="H35" s="51" t="e">
        <f>INDEX(E5:R5,1,H36)</f>
        <v>#N/A</v>
      </c>
      <c r="I35" s="51"/>
      <c r="J35" s="51"/>
      <c r="K35" s="51" t="e">
        <f>HLOOKUP(G35,E5:R10,2,TRUE)</f>
        <v>#N/A</v>
      </c>
      <c r="L35" s="174" t="e">
        <f>HLOOKUP(H35,E5:R10,2,TRUE)</f>
        <v>#N/A</v>
      </c>
      <c r="M35" s="51"/>
      <c r="N35" s="176"/>
      <c r="O35" s="51" t="e">
        <f>HLOOKUP(Q81,E5:R5,1,TRUE)</f>
        <v>#N/A</v>
      </c>
      <c r="P35" s="51" t="e">
        <f>INDEX(E5:R5,1,P36)</f>
        <v>#N/A</v>
      </c>
      <c r="Q35" s="51"/>
      <c r="R35" s="51"/>
      <c r="S35" s="51" t="e">
        <f>HLOOKUP(O35,E5:R10,4,TRUE)</f>
        <v>#N/A</v>
      </c>
      <c r="T35" s="174" t="e">
        <f>HLOOKUP(P35,E5:R10,4,TRUE)</f>
        <v>#N/A</v>
      </c>
      <c r="AE35" s="177">
        <v>1</v>
      </c>
      <c r="AF35" s="178" t="s">
        <v>240</v>
      </c>
      <c r="AG35" s="374">
        <v>1</v>
      </c>
      <c r="AH35" s="375"/>
    </row>
    <row r="36" spans="3:34" s="131" customFormat="1" ht="12.75" customHeight="1" hidden="1">
      <c r="C36" s="50"/>
      <c r="D36" s="50"/>
      <c r="E36" s="51"/>
      <c r="F36" s="52"/>
      <c r="G36" s="51" t="e">
        <f>MATCH(G35,E5:R5,0)</f>
        <v>#N/A</v>
      </c>
      <c r="H36" s="51" t="e">
        <f>G36+1</f>
        <v>#N/A</v>
      </c>
      <c r="I36" s="51"/>
      <c r="J36" s="51"/>
      <c r="K36" s="51"/>
      <c r="L36" s="174"/>
      <c r="M36" s="179"/>
      <c r="N36" s="176"/>
      <c r="O36" s="51" t="e">
        <f>MATCH(O35,E5:R5,0)</f>
        <v>#N/A</v>
      </c>
      <c r="P36" s="51" t="e">
        <f>O36+1</f>
        <v>#N/A</v>
      </c>
      <c r="Q36" s="51"/>
      <c r="R36" s="51"/>
      <c r="S36" s="51"/>
      <c r="T36" s="174"/>
      <c r="AE36" s="177">
        <v>2</v>
      </c>
      <c r="AF36" s="180" t="s">
        <v>241</v>
      </c>
      <c r="AG36" s="370">
        <v>0.9</v>
      </c>
      <c r="AH36" s="371"/>
    </row>
    <row r="37" spans="3:34" s="131" customFormat="1" ht="12.75" customHeight="1" hidden="1">
      <c r="C37" s="50"/>
      <c r="D37" s="50"/>
      <c r="E37" s="51"/>
      <c r="F37" s="52"/>
      <c r="G37" s="51"/>
      <c r="H37" s="51"/>
      <c r="I37" s="51"/>
      <c r="J37" s="51"/>
      <c r="K37" s="51"/>
      <c r="L37" s="174"/>
      <c r="M37" s="179"/>
      <c r="N37" s="181"/>
      <c r="O37" s="51"/>
      <c r="P37" s="51"/>
      <c r="Q37" s="51"/>
      <c r="R37" s="51"/>
      <c r="S37" s="51"/>
      <c r="T37" s="174"/>
      <c r="AE37" s="177">
        <v>3</v>
      </c>
      <c r="AF37" s="180" t="s">
        <v>242</v>
      </c>
      <c r="AG37" s="370">
        <v>0.85</v>
      </c>
      <c r="AH37" s="371"/>
    </row>
    <row r="38" spans="3:34" s="131" customFormat="1" ht="12.75" customHeight="1" hidden="1">
      <c r="C38" s="50"/>
      <c r="D38" s="426" t="s">
        <v>119</v>
      </c>
      <c r="E38" s="426"/>
      <c r="F38" s="182" t="e">
        <f>K35-(F35-G35)*((K35-L35)/(H35-G35))</f>
        <v>#N/A</v>
      </c>
      <c r="G38" s="51"/>
      <c r="H38" s="51"/>
      <c r="I38" s="51"/>
      <c r="J38" s="51"/>
      <c r="K38" s="51"/>
      <c r="L38" s="174"/>
      <c r="M38" s="183" t="s">
        <v>119</v>
      </c>
      <c r="N38" s="176" t="e">
        <f>S35-(N35-O35)*((S35-T35)/(P35-O35))</f>
        <v>#N/A</v>
      </c>
      <c r="O38" s="51"/>
      <c r="P38" s="51"/>
      <c r="Q38" s="51"/>
      <c r="R38" s="51"/>
      <c r="S38" s="51"/>
      <c r="T38" s="174"/>
      <c r="AE38" s="177">
        <v>4</v>
      </c>
      <c r="AF38" s="180" t="s">
        <v>243</v>
      </c>
      <c r="AG38" s="370">
        <v>0.8</v>
      </c>
      <c r="AH38" s="371"/>
    </row>
    <row r="39" spans="3:34" s="131" customFormat="1" ht="12.75" customHeight="1" hidden="1">
      <c r="C39" s="50"/>
      <c r="D39" s="426" t="s">
        <v>120</v>
      </c>
      <c r="E39" s="426"/>
      <c r="F39" s="182" t="e">
        <f>F38*F35</f>
        <v>#N/A</v>
      </c>
      <c r="G39" s="51"/>
      <c r="H39" s="51"/>
      <c r="I39" s="51"/>
      <c r="J39" s="51"/>
      <c r="K39" s="51"/>
      <c r="L39" s="174"/>
      <c r="M39" s="183" t="s">
        <v>120</v>
      </c>
      <c r="N39" s="176" t="e">
        <f>N38*N35</f>
        <v>#N/A</v>
      </c>
      <c r="O39" s="51"/>
      <c r="P39" s="51"/>
      <c r="Q39" s="51"/>
      <c r="R39" s="51"/>
      <c r="S39" s="51"/>
      <c r="T39" s="174"/>
      <c r="AE39" s="177">
        <v>5</v>
      </c>
      <c r="AF39" s="180" t="s">
        <v>244</v>
      </c>
      <c r="AG39" s="370">
        <v>0.7</v>
      </c>
      <c r="AH39" s="371"/>
    </row>
    <row r="40" spans="3:34" s="131" customFormat="1" ht="12.75" customHeight="1" hidden="1">
      <c r="C40" s="50"/>
      <c r="D40" s="426" t="s">
        <v>121</v>
      </c>
      <c r="E40" s="426"/>
      <c r="F40" s="182" t="e">
        <f>F39/SQRT(3)/0.38/0.96</f>
        <v>#N/A</v>
      </c>
      <c r="G40" s="51"/>
      <c r="H40" s="51"/>
      <c r="I40" s="51"/>
      <c r="J40" s="51"/>
      <c r="K40" s="51"/>
      <c r="L40" s="174"/>
      <c r="M40" s="183" t="s">
        <v>121</v>
      </c>
      <c r="N40" s="176" t="e">
        <f>N39/SQRT(3)/0.38/0.98</f>
        <v>#N/A</v>
      </c>
      <c r="O40" s="51"/>
      <c r="P40" s="51"/>
      <c r="Q40" s="51"/>
      <c r="R40" s="51"/>
      <c r="S40" s="51"/>
      <c r="T40" s="174"/>
      <c r="AE40" s="177">
        <v>6</v>
      </c>
      <c r="AF40" s="180" t="s">
        <v>245</v>
      </c>
      <c r="AG40" s="370">
        <v>0.65</v>
      </c>
      <c r="AH40" s="371"/>
    </row>
    <row r="41" spans="3:34" s="131" customFormat="1" ht="12.75" customHeight="1" hidden="1">
      <c r="C41" s="50"/>
      <c r="D41" s="51"/>
      <c r="E41" s="51"/>
      <c r="F41" s="51"/>
      <c r="G41" s="51"/>
      <c r="H41" s="51"/>
      <c r="I41" s="51"/>
      <c r="J41" s="51"/>
      <c r="K41" s="51"/>
      <c r="L41" s="174"/>
      <c r="M41" s="50"/>
      <c r="N41" s="51"/>
      <c r="O41" s="51"/>
      <c r="P41" s="51"/>
      <c r="Q41" s="51"/>
      <c r="R41" s="51"/>
      <c r="S41" s="51"/>
      <c r="T41" s="174"/>
      <c r="AE41" s="177">
        <v>7</v>
      </c>
      <c r="AF41" s="180" t="s">
        <v>246</v>
      </c>
      <c r="AG41" s="370">
        <v>0.6</v>
      </c>
      <c r="AH41" s="371"/>
    </row>
    <row r="42" spans="3:34" s="131" customFormat="1" ht="13.5" customHeight="1" hidden="1" thickBot="1">
      <c r="C42" s="138"/>
      <c r="D42" s="184"/>
      <c r="E42" s="184"/>
      <c r="F42" s="184"/>
      <c r="G42" s="184"/>
      <c r="H42" s="184"/>
      <c r="I42" s="184"/>
      <c r="J42" s="184"/>
      <c r="K42" s="184"/>
      <c r="L42" s="185"/>
      <c r="M42" s="138"/>
      <c r="N42" s="184"/>
      <c r="O42" s="184"/>
      <c r="P42" s="184"/>
      <c r="Q42" s="184"/>
      <c r="R42" s="184"/>
      <c r="S42" s="184"/>
      <c r="T42" s="185"/>
      <c r="AE42" s="186">
        <v>8</v>
      </c>
      <c r="AF42" s="187" t="s">
        <v>247</v>
      </c>
      <c r="AG42" s="372">
        <v>0.55</v>
      </c>
      <c r="AH42" s="373"/>
    </row>
    <row r="43" s="131" customFormat="1" ht="12.75" customHeight="1" hidden="1"/>
    <row r="44" spans="13:19" s="131" customFormat="1" ht="12.75" customHeight="1" hidden="1">
      <c r="M44" s="188"/>
      <c r="N44" s="189"/>
      <c r="O44" s="190"/>
      <c r="P44" s="191"/>
      <c r="Q44" s="191"/>
      <c r="R44" s="191"/>
      <c r="S44" s="191"/>
    </row>
    <row r="45" spans="13:19" s="131" customFormat="1" ht="12.75" customHeight="1" hidden="1">
      <c r="M45" s="192">
        <v>100</v>
      </c>
      <c r="N45" s="193">
        <v>80</v>
      </c>
      <c r="O45" s="194"/>
      <c r="P45" s="191"/>
      <c r="Q45" s="191"/>
      <c r="R45" s="191">
        <v>96</v>
      </c>
      <c r="S45" s="191">
        <v>100</v>
      </c>
    </row>
    <row r="46" spans="13:19" s="131" customFormat="1" ht="12.75" customHeight="1" hidden="1">
      <c r="M46" s="195"/>
      <c r="N46" s="196"/>
      <c r="O46" s="197"/>
      <c r="P46" s="191"/>
      <c r="Q46" s="191"/>
      <c r="R46" s="191"/>
      <c r="S46" s="191"/>
    </row>
    <row r="47" s="131" customFormat="1" ht="12.75" customHeight="1" hidden="1"/>
    <row r="48" s="131" customFormat="1" ht="12.75" customHeight="1" hidden="1"/>
    <row r="49" s="131" customFormat="1" ht="12.75" customHeight="1" hidden="1"/>
    <row r="50" s="131" customFormat="1" ht="12.75" customHeight="1" hidden="1"/>
    <row r="51" s="131" customFormat="1" ht="12.75" customHeight="1" hidden="1"/>
    <row r="52" s="131" customFormat="1" ht="12.75" customHeight="1" hidden="1"/>
    <row r="53" s="131" customFormat="1" ht="13.5" customHeight="1" hidden="1" thickBot="1">
      <c r="F53" s="131" t="s">
        <v>96</v>
      </c>
    </row>
    <row r="54" spans="5:18" s="131" customFormat="1" ht="13.5" customHeight="1" hidden="1" thickBot="1">
      <c r="E54" s="423" t="s">
        <v>98</v>
      </c>
      <c r="F54" s="424"/>
      <c r="G54" s="424"/>
      <c r="H54" s="424"/>
      <c r="I54" s="424"/>
      <c r="J54" s="424"/>
      <c r="K54" s="424"/>
      <c r="L54" s="424"/>
      <c r="M54" s="425"/>
      <c r="N54" s="198"/>
      <c r="O54" s="199"/>
      <c r="P54" s="199"/>
      <c r="Q54" s="199"/>
      <c r="R54" s="199"/>
    </row>
    <row r="55" spans="5:18" s="131" customFormat="1" ht="13.5" customHeight="1" hidden="1" thickBot="1">
      <c r="E55" s="200">
        <v>5</v>
      </c>
      <c r="F55" s="143">
        <v>10</v>
      </c>
      <c r="G55" s="143">
        <v>15</v>
      </c>
      <c r="H55" s="143">
        <v>25</v>
      </c>
      <c r="I55" s="143">
        <v>50</v>
      </c>
      <c r="J55" s="143">
        <v>100</v>
      </c>
      <c r="K55" s="143">
        <v>200</v>
      </c>
      <c r="L55" s="143">
        <v>400</v>
      </c>
      <c r="M55" s="143">
        <v>500</v>
      </c>
      <c r="N55" s="198"/>
      <c r="O55" s="199"/>
      <c r="P55" s="199"/>
      <c r="Q55" s="199"/>
      <c r="R55" s="199"/>
    </row>
    <row r="56" spans="5:18" s="131" customFormat="1" ht="13.5" customHeight="1" hidden="1" thickBot="1">
      <c r="E56" s="201">
        <v>1</v>
      </c>
      <c r="F56" s="151">
        <v>0.8</v>
      </c>
      <c r="G56" s="151">
        <v>0.7</v>
      </c>
      <c r="H56" s="151">
        <v>0.6</v>
      </c>
      <c r="I56" s="151">
        <v>0.5</v>
      </c>
      <c r="J56" s="151">
        <v>0.4</v>
      </c>
      <c r="K56" s="151">
        <v>0.35</v>
      </c>
      <c r="L56" s="151">
        <v>0.3</v>
      </c>
      <c r="M56" s="151">
        <v>0.3</v>
      </c>
      <c r="N56" s="202"/>
      <c r="O56" s="203"/>
      <c r="P56" s="203"/>
      <c r="Q56" s="203"/>
      <c r="R56" s="203"/>
    </row>
    <row r="57" spans="5:18" s="131" customFormat="1" ht="13.5" customHeight="1" hidden="1" thickBot="1">
      <c r="E57" s="204"/>
      <c r="F57" s="205"/>
      <c r="G57" s="205"/>
      <c r="H57" s="205"/>
      <c r="I57" s="205"/>
      <c r="J57" s="205"/>
      <c r="K57" s="205"/>
      <c r="L57" s="205"/>
      <c r="M57" s="206"/>
      <c r="N57" s="207"/>
      <c r="O57" s="51"/>
      <c r="P57" s="51"/>
      <c r="Q57" s="51"/>
      <c r="R57" s="51"/>
    </row>
    <row r="58" spans="5:18" s="131" customFormat="1" ht="12.75" customHeight="1" hidden="1">
      <c r="E58" s="51" t="s">
        <v>103</v>
      </c>
      <c r="F58" s="51" t="s">
        <v>104</v>
      </c>
      <c r="G58" s="51"/>
      <c r="H58" s="51"/>
      <c r="I58" s="51" t="s">
        <v>105</v>
      </c>
      <c r="J58" s="51" t="s">
        <v>106</v>
      </c>
      <c r="K58" s="51"/>
      <c r="L58" s="51"/>
      <c r="M58" s="51"/>
      <c r="N58" s="51"/>
      <c r="O58" s="51"/>
      <c r="P58" s="51"/>
      <c r="Q58" s="51"/>
      <c r="R58" s="51"/>
    </row>
    <row r="59" spans="5:18" s="131" customFormat="1" ht="12.75" customHeight="1" hidden="1">
      <c r="E59" s="131">
        <f>HLOOKUP(E67,E55:M55,1,TRUE)</f>
        <v>50</v>
      </c>
      <c r="F59" s="131">
        <f>INDEX(E55:M55,1,F60)</f>
        <v>100</v>
      </c>
      <c r="I59" s="131">
        <f>HLOOKUP(E67,E55:M56,2,TRUE)</f>
        <v>0.5</v>
      </c>
      <c r="J59" s="131">
        <f>HLOOKUP(F59,E55:M56,2,TRUE)</f>
        <v>0.4</v>
      </c>
      <c r="K59" s="51"/>
      <c r="L59" s="51"/>
      <c r="M59" s="51"/>
      <c r="N59" s="51"/>
      <c r="O59" s="51"/>
      <c r="P59" s="51"/>
      <c r="Q59" s="51"/>
      <c r="R59" s="51"/>
    </row>
    <row r="60" spans="4:6" s="131" customFormat="1" ht="13.5" customHeight="1" hidden="1" thickBot="1">
      <c r="D60" s="131" t="s">
        <v>95</v>
      </c>
      <c r="E60" s="131">
        <f>MATCH(E59,E55:M55,0)</f>
        <v>5</v>
      </c>
      <c r="F60" s="131">
        <f>E60+1</f>
        <v>6</v>
      </c>
    </row>
    <row r="61" spans="1:17" s="131" customFormat="1" ht="13.5" thickBot="1">
      <c r="A61" s="131">
        <f>CEILING(K62*K65/3,1)</f>
        <v>0</v>
      </c>
      <c r="B61" s="131">
        <f>CEILING(((K62*K65)-A61)/2,1)</f>
        <v>0</v>
      </c>
      <c r="G61" s="338" t="s">
        <v>122</v>
      </c>
      <c r="H61" s="339"/>
      <c r="I61" s="339"/>
      <c r="J61" s="339"/>
      <c r="K61" s="340"/>
      <c r="L61" s="341" t="s">
        <v>123</v>
      </c>
      <c r="M61" s="342"/>
      <c r="N61" s="342"/>
      <c r="O61" s="342"/>
      <c r="P61" s="342"/>
      <c r="Q61" s="343"/>
    </row>
    <row r="62" spans="1:17" s="131" customFormat="1" ht="12.75">
      <c r="A62" s="131">
        <f>CEILING(Q62*Q65/3,1)</f>
        <v>0</v>
      </c>
      <c r="B62" s="131">
        <f>CEILING(((Q62*Q65)-A62)/2,1)</f>
        <v>0</v>
      </c>
      <c r="G62" s="344" t="s">
        <v>267</v>
      </c>
      <c r="H62" s="345"/>
      <c r="I62" s="345"/>
      <c r="J62" s="346"/>
      <c r="K62" s="236"/>
      <c r="L62" s="344" t="s">
        <v>267</v>
      </c>
      <c r="M62" s="345"/>
      <c r="N62" s="345"/>
      <c r="O62" s="345"/>
      <c r="P62" s="346"/>
      <c r="Q62" s="238"/>
    </row>
    <row r="63" spans="7:17" s="131" customFormat="1" ht="12.75">
      <c r="G63" s="321" t="s">
        <v>268</v>
      </c>
      <c r="H63" s="318"/>
      <c r="I63" s="318"/>
      <c r="J63" s="319"/>
      <c r="K63" s="237"/>
      <c r="L63" s="321" t="s">
        <v>268</v>
      </c>
      <c r="M63" s="318"/>
      <c r="N63" s="318"/>
      <c r="O63" s="318"/>
      <c r="P63" s="319"/>
      <c r="Q63" s="237"/>
    </row>
    <row r="64" spans="7:17" s="131" customFormat="1" ht="12.75">
      <c r="G64" s="321" t="s">
        <v>270</v>
      </c>
      <c r="H64" s="318"/>
      <c r="I64" s="318"/>
      <c r="J64" s="319"/>
      <c r="K64" s="237"/>
      <c r="L64" s="321" t="s">
        <v>270</v>
      </c>
      <c r="M64" s="318"/>
      <c r="N64" s="318"/>
      <c r="O64" s="318"/>
      <c r="P64" s="319"/>
      <c r="Q64" s="237"/>
    </row>
    <row r="65" spans="7:17" s="131" customFormat="1" ht="13.5" thickBot="1">
      <c r="G65" s="335" t="s">
        <v>269</v>
      </c>
      <c r="H65" s="336"/>
      <c r="I65" s="336"/>
      <c r="J65" s="337"/>
      <c r="K65" s="295">
        <v>1</v>
      </c>
      <c r="L65" s="335" t="s">
        <v>269</v>
      </c>
      <c r="M65" s="336"/>
      <c r="N65" s="336"/>
      <c r="O65" s="336"/>
      <c r="P65" s="337"/>
      <c r="Q65" s="295">
        <v>1</v>
      </c>
    </row>
    <row r="66" spans="7:23" s="131" customFormat="1" ht="13.5" thickBot="1">
      <c r="G66" s="454" t="s">
        <v>122</v>
      </c>
      <c r="H66" s="455"/>
      <c r="I66" s="455"/>
      <c r="J66" s="455"/>
      <c r="K66" s="456"/>
      <c r="L66" s="449" t="s">
        <v>123</v>
      </c>
      <c r="M66" s="450"/>
      <c r="N66" s="450"/>
      <c r="O66" s="450"/>
      <c r="P66" s="450"/>
      <c r="Q66" s="451"/>
      <c r="R66" s="460" t="s">
        <v>122</v>
      </c>
      <c r="S66" s="461"/>
      <c r="T66" s="461"/>
      <c r="U66" s="461"/>
      <c r="V66" s="462"/>
      <c r="W66"/>
    </row>
    <row r="67" spans="1:26" ht="13.5" thickBot="1">
      <c r="A67" s="263">
        <f>I67-J67</f>
        <v>0</v>
      </c>
      <c r="B67" s="264">
        <f>IF(A67&lt;0,(J67),(I67))</f>
        <v>0</v>
      </c>
      <c r="C67" s="265">
        <f>B67-K67</f>
        <v>0</v>
      </c>
      <c r="D67" s="247" t="s">
        <v>99</v>
      </c>
      <c r="E67" s="49">
        <f>E$90</f>
        <v>50.8</v>
      </c>
      <c r="F67" s="131"/>
      <c r="G67" s="452" t="s">
        <v>4</v>
      </c>
      <c r="H67" s="453"/>
      <c r="I67" s="235">
        <f>K63*K65+(A61-K65)*K64</f>
        <v>0</v>
      </c>
      <c r="J67" s="235">
        <f>B61*K64</f>
        <v>0</v>
      </c>
      <c r="K67" s="296">
        <f>(K62*K65-A61-B61)*K64</f>
        <v>0</v>
      </c>
      <c r="L67" s="452" t="s">
        <v>4</v>
      </c>
      <c r="M67" s="453"/>
      <c r="N67" s="453"/>
      <c r="O67" s="235">
        <f>Q63*Q65+(A62-Q65)*Q64</f>
        <v>0</v>
      </c>
      <c r="P67" s="235">
        <f>B62*Q64</f>
        <v>0</v>
      </c>
      <c r="Q67" s="297">
        <f>(Q62*Q65-A62-B62)*Q64</f>
        <v>0</v>
      </c>
      <c r="R67" s="457" t="s">
        <v>266</v>
      </c>
      <c r="S67" s="458"/>
      <c r="T67" s="458"/>
      <c r="U67" s="459"/>
      <c r="V67" s="234" t="e">
        <f>IF(C77&gt;0,C77,C91)*100/IF(B68&gt;0,B68,B82)</f>
        <v>#DIV/0!</v>
      </c>
      <c r="W67" s="131"/>
      <c r="X67" s="131"/>
      <c r="Y67" s="131"/>
      <c r="Z67" s="131"/>
    </row>
    <row r="68" spans="1:26" ht="13.5" thickBot="1">
      <c r="A68" s="266"/>
      <c r="B68" s="258">
        <f>IF(C67&lt;0,(K67),(B67))</f>
        <v>0</v>
      </c>
      <c r="C68" s="267"/>
      <c r="D68" s="247" t="s">
        <v>100</v>
      </c>
      <c r="E68" s="49">
        <f>F$91</f>
        <v>0.8</v>
      </c>
      <c r="F68" s="131"/>
      <c r="G68" s="453" t="s">
        <v>4</v>
      </c>
      <c r="H68" s="453"/>
      <c r="I68" s="244"/>
      <c r="J68" s="244"/>
      <c r="K68" s="244"/>
      <c r="L68" s="452" t="s">
        <v>4</v>
      </c>
      <c r="M68" s="453"/>
      <c r="N68" s="453"/>
      <c r="O68" s="245"/>
      <c r="P68" s="245"/>
      <c r="Q68" s="246"/>
      <c r="R68" s="442" t="s">
        <v>123</v>
      </c>
      <c r="S68" s="415"/>
      <c r="T68" s="415"/>
      <c r="U68" s="415"/>
      <c r="V68" s="415"/>
      <c r="X68" s="131"/>
      <c r="Y68" s="131"/>
      <c r="Z68" s="131"/>
    </row>
    <row r="69" spans="1:26" ht="13.5" thickBot="1">
      <c r="A69" s="266"/>
      <c r="B69" s="259">
        <f>I67+J67+K67</f>
        <v>0</v>
      </c>
      <c r="C69" s="267">
        <f>K69*B70</f>
        <v>0</v>
      </c>
      <c r="D69" s="247" t="s">
        <v>97</v>
      </c>
      <c r="E69" s="49">
        <f>I$59-(E$67-E$59)*((I$59-J$59)/(F$59-E$59))</f>
        <v>0.5</v>
      </c>
      <c r="F69" s="131"/>
      <c r="G69" s="469" t="s">
        <v>119</v>
      </c>
      <c r="H69" s="470"/>
      <c r="I69" s="470"/>
      <c r="J69" s="239"/>
      <c r="K69" s="230">
        <f>IF(IF(B69&gt;0,B69,B83)&lt;6,E6,K27-(IF(B69&gt;0,B69,B83)-G27)*((K27-L27)/(H27-G27)))</f>
        <v>4.5</v>
      </c>
      <c r="L69" s="467" t="s">
        <v>119</v>
      </c>
      <c r="M69" s="468"/>
      <c r="N69" s="468"/>
      <c r="O69" s="468"/>
      <c r="P69" s="468"/>
      <c r="Q69" s="54">
        <f>IF(IF(B73&gt;0,B73,B87)&lt;=5,E8,S27-(IF(B73&gt;0,B73,B87)-O27)*((S27-T27)/(P27-O27)))</f>
        <v>10</v>
      </c>
      <c r="R69" s="457" t="s">
        <v>266</v>
      </c>
      <c r="S69" s="458"/>
      <c r="T69" s="458"/>
      <c r="U69" s="459"/>
      <c r="V69" s="234" t="e">
        <f>IF(C80&gt;0,C80,C94)*100/IF(B72&gt;0,B72,B86)</f>
        <v>#DIV/0!</v>
      </c>
      <c r="W69" s="131"/>
      <c r="X69" s="131"/>
      <c r="Y69" s="131"/>
      <c r="Z69" s="131"/>
    </row>
    <row r="70" spans="1:26" ht="13.5" thickBot="1">
      <c r="A70" s="268"/>
      <c r="B70" s="269">
        <f>B68*3</f>
        <v>0</v>
      </c>
      <c r="C70" s="270"/>
      <c r="D70" s="247" t="s">
        <v>102</v>
      </c>
      <c r="E70" s="49">
        <f>E$69*E$67</f>
        <v>25.4</v>
      </c>
      <c r="F70" s="131"/>
      <c r="G70" s="469" t="s">
        <v>120</v>
      </c>
      <c r="H70" s="470"/>
      <c r="I70" s="470"/>
      <c r="J70" s="239"/>
      <c r="K70" s="230">
        <f>K69*IF(B69&gt;0,B69,B83)</f>
        <v>0</v>
      </c>
      <c r="L70" s="467" t="s">
        <v>120</v>
      </c>
      <c r="M70" s="468"/>
      <c r="N70" s="468"/>
      <c r="O70" s="468"/>
      <c r="P70" s="468"/>
      <c r="Q70" s="54">
        <f>Q69*IF(B73&gt;0,B73,B87)</f>
        <v>0</v>
      </c>
      <c r="R70" s="131"/>
      <c r="S70" s="131"/>
      <c r="T70" s="131"/>
      <c r="U70" s="131"/>
      <c r="V70" s="131"/>
      <c r="W70" s="131"/>
      <c r="X70" s="131"/>
      <c r="Y70" s="131"/>
      <c r="Z70" s="131"/>
    </row>
    <row r="71" spans="1:26" ht="13.5" thickBot="1">
      <c r="A71" s="271">
        <f>O67-P67</f>
        <v>0</v>
      </c>
      <c r="B71" s="272">
        <f>IF(A71&lt;0,(P67),(O67))</f>
        <v>0</v>
      </c>
      <c r="C71" s="273">
        <f>B71-Q67</f>
        <v>0</v>
      </c>
      <c r="D71" s="247" t="s">
        <v>101</v>
      </c>
      <c r="E71" s="49">
        <f>E$70/SQRT(3)/0.38/E$68</f>
        <v>48.24</v>
      </c>
      <c r="F71" s="131"/>
      <c r="G71" s="463" t="s">
        <v>121</v>
      </c>
      <c r="H71" s="464"/>
      <c r="I71" s="464"/>
      <c r="J71" s="239"/>
      <c r="K71" s="231">
        <f>IF(C69&gt;0,C69,C83)/SQRT(3)/0.38/0.96</f>
        <v>0</v>
      </c>
      <c r="L71" s="465" t="s">
        <v>121</v>
      </c>
      <c r="M71" s="466"/>
      <c r="N71" s="466"/>
      <c r="O71" s="466"/>
      <c r="P71" s="466"/>
      <c r="Q71" s="55">
        <f>IF(B73&gt;0,C73,C87)/SQRT(3)/0.38/0.98</f>
        <v>0</v>
      </c>
      <c r="R71" s="131"/>
      <c r="S71" s="131"/>
      <c r="T71" s="131"/>
      <c r="U71" s="131"/>
      <c r="V71" s="131"/>
      <c r="W71" s="131"/>
      <c r="X71" s="131"/>
      <c r="Y71" s="131"/>
      <c r="Z71" s="131"/>
    </row>
    <row r="72" spans="1:26" ht="15" customHeight="1" thickBot="1">
      <c r="A72" s="274"/>
      <c r="B72" s="260">
        <f>IF(C71&lt;0,(Q67),(B71))</f>
        <v>0</v>
      </c>
      <c r="C72" s="275"/>
      <c r="D72" s="417"/>
      <c r="E72" s="419" t="s">
        <v>129</v>
      </c>
      <c r="F72" s="419" t="s">
        <v>128</v>
      </c>
      <c r="G72" s="421"/>
      <c r="H72" s="229" t="s">
        <v>124</v>
      </c>
      <c r="I72" s="229" t="s">
        <v>125</v>
      </c>
      <c r="J72" s="229" t="s">
        <v>230</v>
      </c>
      <c r="K72" s="229" t="s">
        <v>127</v>
      </c>
      <c r="L72" s="232" t="s">
        <v>231</v>
      </c>
      <c r="M72" s="233" t="s">
        <v>232</v>
      </c>
      <c r="N72" s="205"/>
      <c r="O72" s="205"/>
      <c r="P72" s="205"/>
      <c r="Q72" s="205"/>
      <c r="R72" s="131"/>
      <c r="S72" s="442" t="s">
        <v>232</v>
      </c>
      <c r="T72" s="415"/>
      <c r="U72" s="415"/>
      <c r="V72" s="416"/>
      <c r="W72" s="131"/>
      <c r="X72" s="131"/>
      <c r="Y72" s="131"/>
      <c r="Z72" s="131"/>
    </row>
    <row r="73" spans="1:26" ht="15" customHeight="1" thickBot="1">
      <c r="A73" s="274"/>
      <c r="B73" s="261">
        <f>O67+P67+Q67</f>
        <v>0</v>
      </c>
      <c r="C73" s="275">
        <f>Q69*B74</f>
        <v>0</v>
      </c>
      <c r="D73" s="418"/>
      <c r="E73" s="420"/>
      <c r="F73" s="420"/>
      <c r="G73" s="422"/>
      <c r="H73" s="112" t="s">
        <v>126</v>
      </c>
      <c r="I73" s="112" t="s">
        <v>126</v>
      </c>
      <c r="J73" s="112" t="s">
        <v>126</v>
      </c>
      <c r="K73" s="112" t="s">
        <v>126</v>
      </c>
      <c r="L73" s="112" t="s">
        <v>126</v>
      </c>
      <c r="M73" s="112" t="s">
        <v>126</v>
      </c>
      <c r="N73" s="406" t="s">
        <v>122</v>
      </c>
      <c r="O73" s="406"/>
      <c r="P73" s="406"/>
      <c r="Q73" s="407"/>
      <c r="R73" s="131"/>
      <c r="S73" s="362" t="s">
        <v>256</v>
      </c>
      <c r="T73" s="363"/>
      <c r="U73" s="363"/>
      <c r="V73" s="123">
        <v>0</v>
      </c>
      <c r="W73" s="131"/>
      <c r="X73" s="131"/>
      <c r="Y73" s="131"/>
      <c r="Z73" s="131"/>
    </row>
    <row r="74" spans="1:26" ht="15" customHeight="1" thickBot="1">
      <c r="A74" s="276"/>
      <c r="B74" s="277">
        <f>B72*3</f>
        <v>0</v>
      </c>
      <c r="C74" s="278"/>
      <c r="D74" s="248" t="s">
        <v>108</v>
      </c>
      <c r="E74" s="57">
        <v>380</v>
      </c>
      <c r="F74" s="57">
        <v>220</v>
      </c>
      <c r="G74" s="67"/>
      <c r="H74" s="108" t="s">
        <v>116</v>
      </c>
      <c r="I74" s="109" t="s">
        <v>117</v>
      </c>
      <c r="J74" s="110"/>
      <c r="K74" s="110"/>
      <c r="L74" s="110"/>
      <c r="M74" s="111"/>
      <c r="N74" s="412" t="s">
        <v>4</v>
      </c>
      <c r="O74" s="412"/>
      <c r="P74" s="412"/>
      <c r="Q74" s="124"/>
      <c r="R74" s="131"/>
      <c r="S74" s="403"/>
      <c r="T74" s="404"/>
      <c r="U74" s="405"/>
      <c r="V74" s="125">
        <v>68</v>
      </c>
      <c r="W74" s="131"/>
      <c r="X74" s="131"/>
      <c r="Y74" s="131"/>
      <c r="Z74" s="131"/>
    </row>
    <row r="75" spans="1:26" ht="15" customHeight="1">
      <c r="A75" s="279">
        <f>I67-J67</f>
        <v>0</v>
      </c>
      <c r="B75" s="280">
        <f>IF(A75&gt;0,(J67),(I67))</f>
        <v>0</v>
      </c>
      <c r="C75" s="281">
        <f>B67-K67</f>
        <v>0</v>
      </c>
      <c r="D75" s="252" t="s">
        <v>107</v>
      </c>
      <c r="E75" s="63">
        <v>1</v>
      </c>
      <c r="F75" s="63">
        <v>1</v>
      </c>
      <c r="G75" s="68"/>
      <c r="H75" s="210"/>
      <c r="I75" s="211">
        <v>21.6</v>
      </c>
      <c r="J75" s="114">
        <f>IF(Q74&gt;0,Q77,Q84)</f>
        <v>0</v>
      </c>
      <c r="K75" s="114">
        <f>Q92</f>
        <v>0</v>
      </c>
      <c r="L75" s="114">
        <f>V84</f>
        <v>0</v>
      </c>
      <c r="M75" s="114">
        <f>V78</f>
        <v>0</v>
      </c>
      <c r="N75" s="410"/>
      <c r="O75" s="410"/>
      <c r="P75" s="410"/>
      <c r="Q75" s="411"/>
      <c r="R75" s="131"/>
      <c r="S75" s="435" t="s">
        <v>130</v>
      </c>
      <c r="T75" s="436"/>
      <c r="U75" s="437"/>
      <c r="V75" s="127">
        <v>1.35</v>
      </c>
      <c r="W75" s="131"/>
      <c r="X75" s="131"/>
      <c r="Y75" s="131"/>
      <c r="Z75" s="131"/>
    </row>
    <row r="76" spans="1:26" ht="15" customHeight="1">
      <c r="A76" s="282">
        <f>B75-B76</f>
        <v>0</v>
      </c>
      <c r="B76" s="262">
        <f>IF(C75&gt;0,(K67),(B67))</f>
        <v>0</v>
      </c>
      <c r="C76" s="283"/>
      <c r="D76" s="252" t="s">
        <v>109</v>
      </c>
      <c r="E76" s="225">
        <f>H88</f>
        <v>0</v>
      </c>
      <c r="F76" s="225">
        <f>H88</f>
        <v>0</v>
      </c>
      <c r="G76" s="68"/>
      <c r="H76" s="212"/>
      <c r="I76" s="213">
        <v>21.6</v>
      </c>
      <c r="J76" s="114">
        <f>IF(IF(C69&gt;0,C69,C83)&gt;0,IF(C69&gt;0,C69,C83),IF(B73&gt;0,C73,C87))</f>
        <v>0</v>
      </c>
      <c r="K76" s="114">
        <f>U92</f>
        <v>0</v>
      </c>
      <c r="L76" s="73"/>
      <c r="M76" s="74"/>
      <c r="N76" s="413" t="s">
        <v>119</v>
      </c>
      <c r="O76" s="413"/>
      <c r="P76" s="414"/>
      <c r="Q76" s="54">
        <f>IF(Q74&lt;6,E6,K35-(Q74-G35)*((K35-L35)/(H35-G35)))</f>
        <v>4.5</v>
      </c>
      <c r="R76" s="131"/>
      <c r="S76" s="126" t="s">
        <v>258</v>
      </c>
      <c r="T76" s="128"/>
      <c r="U76" s="129"/>
      <c r="V76" s="127">
        <f>R45/100</f>
        <v>0.96</v>
      </c>
      <c r="W76" s="131"/>
      <c r="X76" s="131"/>
      <c r="Y76" s="131"/>
      <c r="Z76" s="131"/>
    </row>
    <row r="77" spans="1:26" ht="15" customHeight="1" thickBot="1">
      <c r="A77" s="284"/>
      <c r="B77" s="285">
        <f>IF(A76&gt;0,(B76),(B75))</f>
        <v>0</v>
      </c>
      <c r="C77" s="286">
        <f>B68-B77</f>
        <v>0</v>
      </c>
      <c r="D77" s="252" t="s">
        <v>110</v>
      </c>
      <c r="E77" s="227">
        <f>H91</f>
        <v>1</v>
      </c>
      <c r="F77" s="225">
        <f>H91</f>
        <v>1</v>
      </c>
      <c r="G77" s="71"/>
      <c r="H77" s="212"/>
      <c r="I77" s="213">
        <v>0.4</v>
      </c>
      <c r="J77" s="73"/>
      <c r="K77" s="73"/>
      <c r="L77" s="73"/>
      <c r="M77" s="74"/>
      <c r="N77" s="413" t="s">
        <v>120</v>
      </c>
      <c r="O77" s="413"/>
      <c r="P77" s="414"/>
      <c r="Q77" s="54">
        <f>Q76*Q74</f>
        <v>0</v>
      </c>
      <c r="R77" s="131"/>
      <c r="S77" s="435" t="s">
        <v>137</v>
      </c>
      <c r="T77" s="436"/>
      <c r="U77" s="437"/>
      <c r="V77" s="127">
        <f>S45/100</f>
        <v>1</v>
      </c>
      <c r="W77" s="131"/>
      <c r="X77" s="131"/>
      <c r="Y77" s="131"/>
      <c r="Z77" s="131"/>
    </row>
    <row r="78" spans="1:26" ht="15" customHeight="1" thickBot="1">
      <c r="A78" s="287">
        <f>O67-P67</f>
        <v>0</v>
      </c>
      <c r="B78" s="288">
        <f>IF(A78&gt;0,(P67),(O67))</f>
        <v>0</v>
      </c>
      <c r="C78" s="289">
        <f>B71-Q67</f>
        <v>0</v>
      </c>
      <c r="D78" s="252" t="s">
        <v>111</v>
      </c>
      <c r="E78" s="225">
        <f>E76*TAN(ACOS(E77))</f>
        <v>0</v>
      </c>
      <c r="F78" s="225">
        <f>F76*TAN(ACOS(F77))</f>
        <v>0</v>
      </c>
      <c r="G78" s="68"/>
      <c r="H78" s="212"/>
      <c r="I78" s="213">
        <v>2.4</v>
      </c>
      <c r="J78" s="73"/>
      <c r="K78" s="73"/>
      <c r="L78" s="73"/>
      <c r="M78" s="74"/>
      <c r="N78" s="408" t="s">
        <v>121</v>
      </c>
      <c r="O78" s="408"/>
      <c r="P78" s="409"/>
      <c r="Q78" s="55">
        <f>Q77/SQRT(3)/0.38/0.96</f>
        <v>0</v>
      </c>
      <c r="R78" s="131"/>
      <c r="S78" s="392" t="s">
        <v>120</v>
      </c>
      <c r="T78" s="393"/>
      <c r="U78" s="394"/>
      <c r="V78" s="54">
        <f>V75*V73</f>
        <v>0</v>
      </c>
      <c r="W78" s="131"/>
      <c r="X78" s="131"/>
      <c r="Y78" s="131"/>
      <c r="Z78" s="131"/>
    </row>
    <row r="79" spans="1:26" ht="15" customHeight="1" thickBot="1">
      <c r="A79" s="290"/>
      <c r="B79" s="251">
        <f>IF(C78&gt;0,(Q67),(B71))</f>
        <v>0</v>
      </c>
      <c r="C79" s="291">
        <f>B78-B79</f>
        <v>0</v>
      </c>
      <c r="D79" s="252" t="s">
        <v>112</v>
      </c>
      <c r="E79" s="225">
        <f>SQRT(POWER(E76,2)+POWER(E78,2))</f>
        <v>0</v>
      </c>
      <c r="F79" s="225">
        <f>SQRT(POWER(F76,2)+POWER(F78,2))</f>
        <v>0</v>
      </c>
      <c r="G79" s="68"/>
      <c r="H79" s="212"/>
      <c r="I79" s="213">
        <v>2.4</v>
      </c>
      <c r="J79" s="73"/>
      <c r="K79" s="73"/>
      <c r="L79" s="73"/>
      <c r="M79" s="74"/>
      <c r="N79" s="72"/>
      <c r="O79" s="72"/>
      <c r="P79" s="72"/>
      <c r="Q79" s="72"/>
      <c r="R79" s="131"/>
      <c r="S79" s="432" t="s">
        <v>121</v>
      </c>
      <c r="T79" s="433"/>
      <c r="U79" s="434"/>
      <c r="V79" s="55">
        <f>V78/SQRT(3)/0.38/VLOOKUP(V74,'Параметры двигателей'!A2:K69,6,FALSE)/VLOOKUP(V74,'Параметры двигателей'!A2:K69,7,FALSE)</f>
        <v>0</v>
      </c>
      <c r="W79" s="131"/>
      <c r="X79" s="131"/>
      <c r="Y79" s="131"/>
      <c r="Z79" s="131"/>
    </row>
    <row r="80" spans="1:26" ht="15" customHeight="1" thickBot="1">
      <c r="A80" s="292"/>
      <c r="B80" s="293">
        <f>IF(C79&gt;0,(B79),(B78))</f>
        <v>0</v>
      </c>
      <c r="C80" s="294">
        <f>B72-B80</f>
        <v>0</v>
      </c>
      <c r="D80" s="253" t="s">
        <v>115</v>
      </c>
      <c r="E80" s="228">
        <f>E76/SQRT(3)/0.38/E77</f>
        <v>0</v>
      </c>
      <c r="F80" s="228">
        <f>F76/0.22/F77</f>
        <v>0</v>
      </c>
      <c r="G80" s="69"/>
      <c r="H80" s="214"/>
      <c r="I80" s="215">
        <v>2.4</v>
      </c>
      <c r="J80" s="73"/>
      <c r="K80" s="73"/>
      <c r="L80" s="73"/>
      <c r="M80" s="74"/>
      <c r="N80" s="415" t="s">
        <v>123</v>
      </c>
      <c r="O80" s="415"/>
      <c r="P80" s="415"/>
      <c r="Q80" s="416"/>
      <c r="R80" s="131"/>
      <c r="S80" s="442" t="s">
        <v>231</v>
      </c>
      <c r="T80" s="415"/>
      <c r="U80" s="415"/>
      <c r="V80" s="416"/>
      <c r="W80" s="131"/>
      <c r="X80" s="131"/>
      <c r="Y80" s="131"/>
      <c r="Z80" s="131"/>
    </row>
    <row r="81" spans="1:26" ht="15" customHeight="1" thickBot="1">
      <c r="A81" s="263">
        <f>I68-J68</f>
        <v>0</v>
      </c>
      <c r="B81" s="264">
        <f>IF(A81&lt;0,(J68),(I68))</f>
        <v>0</v>
      </c>
      <c r="C81" s="265">
        <f>B81-K81</f>
        <v>0</v>
      </c>
      <c r="D81" s="248" t="s">
        <v>113</v>
      </c>
      <c r="E81" s="65"/>
      <c r="F81" s="65"/>
      <c r="G81" s="65"/>
      <c r="H81" s="216"/>
      <c r="I81" s="217"/>
      <c r="J81" s="73"/>
      <c r="K81" s="73"/>
      <c r="L81" s="73"/>
      <c r="M81" s="74"/>
      <c r="N81" s="412" t="s">
        <v>4</v>
      </c>
      <c r="O81" s="412"/>
      <c r="P81" s="412"/>
      <c r="Q81" s="124"/>
      <c r="R81" s="131"/>
      <c r="S81" s="362" t="s">
        <v>256</v>
      </c>
      <c r="T81" s="363"/>
      <c r="U81" s="363"/>
      <c r="V81" s="123">
        <v>0</v>
      </c>
      <c r="W81" s="131"/>
      <c r="X81" s="131"/>
      <c r="Y81" s="131"/>
      <c r="Z81" s="131"/>
    </row>
    <row r="82" spans="1:26" ht="15" customHeight="1">
      <c r="A82" s="266"/>
      <c r="B82" s="258">
        <f>IF(C81&lt;0,(K81),(B81))</f>
        <v>0</v>
      </c>
      <c r="C82" s="267"/>
      <c r="D82" s="252" t="s">
        <v>107</v>
      </c>
      <c r="E82" s="63">
        <v>1</v>
      </c>
      <c r="F82" s="63">
        <v>1</v>
      </c>
      <c r="G82" s="68"/>
      <c r="H82" s="218"/>
      <c r="I82" s="213"/>
      <c r="J82" s="73"/>
      <c r="K82" s="73"/>
      <c r="L82" s="73"/>
      <c r="M82" s="74"/>
      <c r="N82" s="410"/>
      <c r="O82" s="410"/>
      <c r="P82" s="410"/>
      <c r="Q82" s="411"/>
      <c r="R82" s="131"/>
      <c r="S82" s="438"/>
      <c r="T82" s="413"/>
      <c r="U82" s="414"/>
      <c r="V82" s="54">
        <v>15</v>
      </c>
      <c r="W82" s="131"/>
      <c r="X82" s="131"/>
      <c r="Y82" s="131"/>
      <c r="Z82" s="131"/>
    </row>
    <row r="83" spans="1:26" ht="15" customHeight="1">
      <c r="A83" s="266"/>
      <c r="B83" s="259">
        <f>I68+J68+K68</f>
        <v>0</v>
      </c>
      <c r="C83" s="267">
        <f>K69*B84</f>
        <v>0</v>
      </c>
      <c r="D83" s="252" t="s">
        <v>109</v>
      </c>
      <c r="E83" s="225">
        <f>I88</f>
        <v>50.8</v>
      </c>
      <c r="F83" s="225">
        <f>I88</f>
        <v>50.8</v>
      </c>
      <c r="G83" s="68"/>
      <c r="H83" s="212"/>
      <c r="I83" s="213"/>
      <c r="J83" s="73"/>
      <c r="K83" s="73"/>
      <c r="L83" s="73"/>
      <c r="M83" s="74"/>
      <c r="N83" s="413" t="s">
        <v>119</v>
      </c>
      <c r="O83" s="413"/>
      <c r="P83" s="414"/>
      <c r="Q83" s="54">
        <f>IF(Q81&lt;=5,E8,S35-(Q81-O35)*((S35-T35)/(P35-O35)))</f>
        <v>10</v>
      </c>
      <c r="R83" s="131"/>
      <c r="S83" s="392" t="s">
        <v>130</v>
      </c>
      <c r="T83" s="393"/>
      <c r="U83" s="394"/>
      <c r="V83" s="54">
        <f>VLOOKUP(V82,'Параметры двигателей'!A2:K67,4,FALSE)</f>
        <v>5</v>
      </c>
      <c r="W83" s="131"/>
      <c r="X83" s="131"/>
      <c r="Y83" s="131"/>
      <c r="Z83" s="131"/>
    </row>
    <row r="84" spans="1:26" ht="15" customHeight="1" thickBot="1">
      <c r="A84" s="268"/>
      <c r="B84" s="269">
        <f>B82*3</f>
        <v>0</v>
      </c>
      <c r="C84" s="270"/>
      <c r="D84" s="252" t="s">
        <v>110</v>
      </c>
      <c r="E84" s="225">
        <f>I91</f>
        <v>0.8</v>
      </c>
      <c r="F84" s="225">
        <f>I91</f>
        <v>0.8</v>
      </c>
      <c r="G84" s="68"/>
      <c r="H84" s="212"/>
      <c r="I84" s="213"/>
      <c r="J84" s="73"/>
      <c r="K84" s="73"/>
      <c r="L84" s="73"/>
      <c r="M84" s="74"/>
      <c r="N84" s="413" t="s">
        <v>120</v>
      </c>
      <c r="O84" s="413"/>
      <c r="P84" s="414"/>
      <c r="Q84" s="54">
        <f>Q83*Q81</f>
        <v>0</v>
      </c>
      <c r="R84" s="131"/>
      <c r="S84" s="392" t="s">
        <v>120</v>
      </c>
      <c r="T84" s="393"/>
      <c r="U84" s="394"/>
      <c r="V84" s="54">
        <f>V81*V83*V86</f>
        <v>0</v>
      </c>
      <c r="W84" s="131"/>
      <c r="X84" s="131"/>
      <c r="Y84" s="131"/>
      <c r="Z84" s="131"/>
    </row>
    <row r="85" spans="1:26" ht="15" customHeight="1" thickBot="1">
      <c r="A85" s="271">
        <f>O68-P68</f>
        <v>0</v>
      </c>
      <c r="B85" s="272">
        <f>IF(A85&lt;0,(P68),(O68))</f>
        <v>0</v>
      </c>
      <c r="C85" s="273">
        <f>B85-Q68</f>
        <v>0</v>
      </c>
      <c r="D85" s="252" t="s">
        <v>111</v>
      </c>
      <c r="E85" s="225">
        <f>E83*TAN(ACOS(E84))</f>
        <v>38.1</v>
      </c>
      <c r="F85" s="225">
        <f>F83*TAN(ACOS(F84))</f>
        <v>38.1</v>
      </c>
      <c r="G85" s="68"/>
      <c r="H85" s="212"/>
      <c r="I85" s="213"/>
      <c r="J85" s="73"/>
      <c r="K85" s="73"/>
      <c r="L85" s="73"/>
      <c r="M85" s="74"/>
      <c r="N85" s="408" t="s">
        <v>121</v>
      </c>
      <c r="O85" s="408"/>
      <c r="P85" s="409"/>
      <c r="Q85" s="55">
        <f>Q84/SQRT(3)/0.38/0.98</f>
        <v>0</v>
      </c>
      <c r="R85" s="131"/>
      <c r="S85" s="432" t="s">
        <v>121</v>
      </c>
      <c r="T85" s="433"/>
      <c r="U85" s="434"/>
      <c r="V85" s="55">
        <f>V84/SQRT(3)/0.38/VLOOKUP(V82,'Параметры двигателей'!A2:K67,6,FALSE)/VLOOKUP(V82,'Параметры двигателей'!A2:K67,7,FALSE)</f>
        <v>0</v>
      </c>
      <c r="W85" s="131"/>
      <c r="X85" s="131"/>
      <c r="Y85" s="131"/>
      <c r="Z85" s="131"/>
    </row>
    <row r="86" spans="1:26" ht="15" customHeight="1" thickBot="1">
      <c r="A86" s="274"/>
      <c r="B86" s="260">
        <f>IF(C85&lt;0,(Q81),(B85))</f>
        <v>0</v>
      </c>
      <c r="C86" s="275"/>
      <c r="D86" s="252" t="s">
        <v>112</v>
      </c>
      <c r="E86" s="225">
        <f>SQRT(POWER(E83,2)+POWER(E85,2))</f>
        <v>63.5</v>
      </c>
      <c r="F86" s="225">
        <f>SQRT(POWER(F83,2)+POWER(F85,2))</f>
        <v>63.5</v>
      </c>
      <c r="G86" s="68"/>
      <c r="H86" s="212"/>
      <c r="I86" s="213"/>
      <c r="J86" s="73"/>
      <c r="K86" s="73"/>
      <c r="L86" s="73"/>
      <c r="M86" s="74"/>
      <c r="N86" s="51"/>
      <c r="O86" s="51"/>
      <c r="P86" s="51"/>
      <c r="Q86" s="51"/>
      <c r="R86" s="131"/>
      <c r="S86" s="432" t="s">
        <v>264</v>
      </c>
      <c r="T86" s="433"/>
      <c r="U86" s="434"/>
      <c r="V86" s="298">
        <v>0.25</v>
      </c>
      <c r="W86" s="131"/>
      <c r="X86" s="131"/>
      <c r="Y86" s="131"/>
      <c r="Z86" s="131"/>
    </row>
    <row r="87" spans="1:26" ht="15" customHeight="1" thickBot="1">
      <c r="A87" s="274"/>
      <c r="B87" s="261">
        <f>O68+P68+Q68</f>
        <v>0</v>
      </c>
      <c r="C87" s="275">
        <f>Q69*B88</f>
        <v>0</v>
      </c>
      <c r="D87" s="254" t="s">
        <v>115</v>
      </c>
      <c r="E87" s="226">
        <f>E83/SQRT(3)/0.38/E84</f>
        <v>96.478</v>
      </c>
      <c r="F87" s="226">
        <f>F83/0.22/F84</f>
        <v>288.636</v>
      </c>
      <c r="G87" s="70"/>
      <c r="H87" s="219"/>
      <c r="I87" s="220"/>
      <c r="J87" s="73"/>
      <c r="K87" s="73"/>
      <c r="L87" s="73"/>
      <c r="M87" s="115"/>
      <c r="N87" s="398" t="s">
        <v>254</v>
      </c>
      <c r="O87" s="399"/>
      <c r="P87" s="399"/>
      <c r="Q87" s="400"/>
      <c r="R87" s="398" t="s">
        <v>255</v>
      </c>
      <c r="S87" s="399"/>
      <c r="T87" s="399"/>
      <c r="U87" s="400"/>
      <c r="V87" s="131"/>
      <c r="W87" s="131"/>
      <c r="X87" s="131"/>
      <c r="Y87" s="131"/>
      <c r="Z87" s="131"/>
    </row>
    <row r="88" spans="1:26" ht="15" customHeight="1" thickBot="1">
      <c r="A88" s="276"/>
      <c r="B88" s="277">
        <f>B86*3</f>
        <v>0</v>
      </c>
      <c r="C88" s="278"/>
      <c r="D88" s="255" t="s">
        <v>114</v>
      </c>
      <c r="E88" s="66"/>
      <c r="F88" s="66"/>
      <c r="G88" s="66"/>
      <c r="H88" s="221">
        <f aca="true" t="shared" si="0" ref="H88:M88">SUM(H75:H87)</f>
        <v>0</v>
      </c>
      <c r="I88" s="221">
        <f t="shared" si="0"/>
        <v>50.8</v>
      </c>
      <c r="J88" s="113">
        <f t="shared" si="0"/>
        <v>0</v>
      </c>
      <c r="K88" s="113">
        <f t="shared" si="0"/>
        <v>0</v>
      </c>
      <c r="L88" s="113">
        <f t="shared" si="0"/>
        <v>0</v>
      </c>
      <c r="M88" s="113">
        <f t="shared" si="0"/>
        <v>0</v>
      </c>
      <c r="N88" s="401" t="s">
        <v>251</v>
      </c>
      <c r="O88" s="402"/>
      <c r="P88" s="402"/>
      <c r="Q88" s="446">
        <v>8</v>
      </c>
      <c r="R88" s="447"/>
      <c r="S88" s="447"/>
      <c r="T88" s="447"/>
      <c r="U88" s="448"/>
      <c r="V88" s="131"/>
      <c r="W88" s="131"/>
      <c r="X88" s="131"/>
      <c r="Y88" s="131"/>
      <c r="Z88" s="131"/>
    </row>
    <row r="89" spans="1:26" ht="15" customHeight="1" thickBot="1">
      <c r="A89" s="279">
        <f>I68-J68</f>
        <v>0</v>
      </c>
      <c r="B89" s="280">
        <f>IF(A89&gt;0,(J68),(I68))</f>
        <v>0</v>
      </c>
      <c r="C89" s="281">
        <f>B81-K81</f>
        <v>0</v>
      </c>
      <c r="D89" s="249" t="s">
        <v>107</v>
      </c>
      <c r="E89" s="64"/>
      <c r="F89" s="64"/>
      <c r="G89" s="58"/>
      <c r="H89" s="222"/>
      <c r="I89" s="223"/>
      <c r="J89" s="73"/>
      <c r="K89" s="73"/>
      <c r="L89" s="73"/>
      <c r="M89" s="115"/>
      <c r="N89" s="362" t="s">
        <v>252</v>
      </c>
      <c r="O89" s="363"/>
      <c r="P89" s="363"/>
      <c r="Q89" s="123">
        <v>0</v>
      </c>
      <c r="R89" s="362" t="s">
        <v>253</v>
      </c>
      <c r="S89" s="363"/>
      <c r="T89" s="363"/>
      <c r="U89" s="123">
        <v>0</v>
      </c>
      <c r="V89" s="131"/>
      <c r="W89" s="131"/>
      <c r="X89" s="131"/>
      <c r="Y89" s="131"/>
      <c r="Z89" s="131"/>
    </row>
    <row r="90" spans="1:26" ht="15" customHeight="1">
      <c r="A90" s="282">
        <f>B89-B90</f>
        <v>0</v>
      </c>
      <c r="B90" s="262">
        <f>IF(C89&gt;0,(K68),(B68))</f>
        <v>0</v>
      </c>
      <c r="C90" s="283"/>
      <c r="D90" s="256" t="s">
        <v>109</v>
      </c>
      <c r="E90" s="241">
        <f>E76+E83</f>
        <v>50.8</v>
      </c>
      <c r="F90" s="59">
        <f>F76+F83</f>
        <v>50.8</v>
      </c>
      <c r="G90" s="59"/>
      <c r="H90" s="222">
        <f aca="true" t="shared" si="1" ref="H90:M90">H88</f>
        <v>0</v>
      </c>
      <c r="I90" s="222">
        <f t="shared" si="1"/>
        <v>50.8</v>
      </c>
      <c r="J90" s="73">
        <f t="shared" si="1"/>
        <v>0</v>
      </c>
      <c r="K90" s="73">
        <f t="shared" si="1"/>
        <v>0</v>
      </c>
      <c r="L90" s="73">
        <f t="shared" si="1"/>
        <v>0</v>
      </c>
      <c r="M90" s="73">
        <f t="shared" si="1"/>
        <v>0</v>
      </c>
      <c r="N90" s="403"/>
      <c r="O90" s="404"/>
      <c r="P90" s="405"/>
      <c r="Q90" s="125">
        <v>18</v>
      </c>
      <c r="R90" s="403"/>
      <c r="S90" s="404"/>
      <c r="T90" s="405"/>
      <c r="U90" s="125">
        <v>6</v>
      </c>
      <c r="V90" s="131"/>
      <c r="W90" s="131"/>
      <c r="X90" s="131"/>
      <c r="Y90" s="131"/>
      <c r="Z90" s="131"/>
    </row>
    <row r="91" spans="1:26" ht="15" customHeight="1" thickBot="1">
      <c r="A91" s="284"/>
      <c r="B91" s="285">
        <f>IF(A90&gt;0,(B90),(B89))</f>
        <v>0</v>
      </c>
      <c r="C91" s="286">
        <f>B82-B91</f>
        <v>0</v>
      </c>
      <c r="D91" s="257" t="s">
        <v>110</v>
      </c>
      <c r="E91" s="242">
        <f>E90/E93</f>
        <v>0.8</v>
      </c>
      <c r="F91" s="59">
        <f>F90/F93</f>
        <v>0.8</v>
      </c>
      <c r="G91" s="60"/>
      <c r="H91" s="130">
        <f>M45/100</f>
        <v>1</v>
      </c>
      <c r="I91" s="130">
        <f>N45/100</f>
        <v>0.8</v>
      </c>
      <c r="J91" s="73">
        <f>IF(Q74&gt;0,0.96,0.98)</f>
        <v>0.98</v>
      </c>
      <c r="K91" s="60" t="e">
        <f>K90/K93</f>
        <v>#DIV/0!</v>
      </c>
      <c r="L91" s="117">
        <f>VLOOKUP(V82,'Параметры двигателей'!A2:K67,6,FALSE)</f>
        <v>0.71</v>
      </c>
      <c r="M91" s="117">
        <f>V76</f>
        <v>0.96</v>
      </c>
      <c r="N91" s="392" t="s">
        <v>130</v>
      </c>
      <c r="O91" s="393"/>
      <c r="P91" s="394"/>
      <c r="Q91" s="54">
        <f>VLOOKUP(Q90,'Параметры двигателей'!A2:K67,4,FALSE)</f>
        <v>3.55</v>
      </c>
      <c r="R91" s="392" t="s">
        <v>130</v>
      </c>
      <c r="S91" s="393"/>
      <c r="T91" s="394"/>
      <c r="U91" s="54">
        <f>VLOOKUP(U90,'Параметры двигателей'!A2:K67,4,FALSE)</f>
        <v>4.5</v>
      </c>
      <c r="V91" s="131"/>
      <c r="W91" s="131"/>
      <c r="X91" s="131"/>
      <c r="Y91" s="131"/>
      <c r="Z91" s="131"/>
    </row>
    <row r="92" spans="1:26" ht="15" customHeight="1">
      <c r="A92" s="287">
        <f>O68-P68</f>
        <v>0</v>
      </c>
      <c r="B92" s="288">
        <f>IF(A92&gt;0,(P68),(O68))</f>
        <v>0</v>
      </c>
      <c r="C92" s="289">
        <f>B85-Q68</f>
        <v>0</v>
      </c>
      <c r="D92" s="249" t="s">
        <v>111</v>
      </c>
      <c r="E92" s="59">
        <f>E78+E85</f>
        <v>38.1</v>
      </c>
      <c r="F92" s="59">
        <f>F78+F85</f>
        <v>38.1</v>
      </c>
      <c r="G92" s="59"/>
      <c r="H92" s="222">
        <f>H90*TAN(ACOS(H91))</f>
        <v>0</v>
      </c>
      <c r="I92" s="222">
        <f>I90*TAN(ACOS(I91))</f>
        <v>38.1</v>
      </c>
      <c r="J92" s="73">
        <f>J90*TAN(ACOS(J91))</f>
        <v>0</v>
      </c>
      <c r="K92" s="73">
        <f>SUM(K105,K108)</f>
        <v>0</v>
      </c>
      <c r="L92" s="73">
        <f>L90*TAN(ACOS(L91))</f>
        <v>0</v>
      </c>
      <c r="M92" s="73">
        <f>M90*TAN(ACOS(M91))</f>
        <v>0</v>
      </c>
      <c r="N92" s="392" t="s">
        <v>120</v>
      </c>
      <c r="O92" s="393"/>
      <c r="P92" s="394"/>
      <c r="Q92" s="54">
        <f>IF(Q89=0,0,Q89*Q91*Q94)</f>
        <v>0</v>
      </c>
      <c r="R92" s="392" t="s">
        <v>120</v>
      </c>
      <c r="S92" s="393"/>
      <c r="T92" s="394"/>
      <c r="U92" s="54">
        <f>IF(U89=0,0,U89*U91*Q94)</f>
        <v>0</v>
      </c>
      <c r="V92" s="131"/>
      <c r="W92" s="131"/>
      <c r="X92" s="131"/>
      <c r="Y92" s="131"/>
      <c r="Z92" s="131"/>
    </row>
    <row r="93" spans="1:26" ht="15" customHeight="1">
      <c r="A93" s="290"/>
      <c r="B93" s="251">
        <f>IF(C92&gt;0,(Q68),(B85))</f>
        <v>0</v>
      </c>
      <c r="C93" s="291">
        <f>B92-B93</f>
        <v>0</v>
      </c>
      <c r="D93" s="249" t="s">
        <v>112</v>
      </c>
      <c r="E93" s="61">
        <f aca="true" t="shared" si="2" ref="E93:M93">SQRT(POWER(E90,2)+POWER(E92,2))</f>
        <v>63.5</v>
      </c>
      <c r="F93" s="61">
        <f t="shared" si="2"/>
        <v>63.5</v>
      </c>
      <c r="G93" s="61"/>
      <c r="H93" s="222">
        <f t="shared" si="2"/>
        <v>0</v>
      </c>
      <c r="I93" s="222">
        <f t="shared" si="2"/>
        <v>63.5</v>
      </c>
      <c r="J93" s="73">
        <f t="shared" si="2"/>
        <v>0</v>
      </c>
      <c r="K93" s="73">
        <f t="shared" si="2"/>
        <v>0</v>
      </c>
      <c r="L93" s="73">
        <f t="shared" si="2"/>
        <v>0</v>
      </c>
      <c r="M93" s="73">
        <f t="shared" si="2"/>
        <v>0</v>
      </c>
      <c r="N93" s="395" t="s">
        <v>121</v>
      </c>
      <c r="O93" s="396"/>
      <c r="P93" s="397"/>
      <c r="Q93" s="116">
        <f>Q92/SQRT(3)/0.38/VLOOKUP(Q90,'Параметры двигателей'!A2:J67,6,FALSE)/VLOOKUP(Q90,'Параметры двигателей'!A2:K69,7,FALSE)</f>
        <v>0</v>
      </c>
      <c r="R93" s="395" t="s">
        <v>121</v>
      </c>
      <c r="S93" s="396"/>
      <c r="T93" s="397"/>
      <c r="U93" s="116">
        <f>U92/SQRT(3)/0.38/VLOOKUP(U90,'Параметры двигателей'!A2:K67,6,FALSE)/VLOOKUP(U90,'Параметры двигателей'!A2:K67,7,FALSE)</f>
        <v>0</v>
      </c>
      <c r="V93" s="131"/>
      <c r="W93" s="131"/>
      <c r="X93" s="131"/>
      <c r="Y93" s="131"/>
      <c r="Z93" s="131"/>
    </row>
    <row r="94" spans="1:26" ht="15" customHeight="1" thickBot="1">
      <c r="A94" s="292"/>
      <c r="B94" s="293">
        <f>IF(C93&gt;0,(B93),(B92))</f>
        <v>0</v>
      </c>
      <c r="C94" s="294">
        <f>B86-B94</f>
        <v>0</v>
      </c>
      <c r="D94" s="250" t="s">
        <v>115</v>
      </c>
      <c r="E94" s="243">
        <f>E93/SQRT(3)/0.38</f>
        <v>96.478</v>
      </c>
      <c r="F94" s="240">
        <f>F93/0.22</f>
        <v>288.636</v>
      </c>
      <c r="G94" s="62"/>
      <c r="H94" s="224">
        <f>H90/SQRT(3)/0.38/H91</f>
        <v>0</v>
      </c>
      <c r="I94" s="224">
        <f>I90/SQRT(3)/0.38/I91</f>
        <v>96.478</v>
      </c>
      <c r="J94" s="56">
        <f>J90/SQRT(3)/0.38/J91</f>
        <v>0</v>
      </c>
      <c r="K94" s="56">
        <f>K109</f>
        <v>0</v>
      </c>
      <c r="L94" s="56">
        <f>L90/SQRT(3)/0.38/VLOOKUP(V82,'Параметры двигателей'!A2:K67,6,FALSE)/VLOOKUP(V82,'Параметры двигателей'!A2:K67,7,FALSE)</f>
        <v>0</v>
      </c>
      <c r="M94" s="56">
        <f>M90/SQRT(3)/0.38/M91/V77</f>
        <v>0</v>
      </c>
      <c r="N94" s="349" t="s">
        <v>97</v>
      </c>
      <c r="O94" s="350"/>
      <c r="P94" s="351"/>
      <c r="Q94" s="443" t="e">
        <f>IF(Q89=U89=0,0,AM13)</f>
        <v>#N/A</v>
      </c>
      <c r="R94" s="444"/>
      <c r="S94" s="444"/>
      <c r="T94" s="444"/>
      <c r="U94" s="445"/>
      <c r="V94" s="131"/>
      <c r="W94" s="131"/>
      <c r="X94" s="131"/>
      <c r="Y94" s="131"/>
      <c r="Z94" s="131"/>
    </row>
    <row r="95" spans="4:26" ht="15" customHeight="1">
      <c r="D95" s="131"/>
      <c r="E95" s="72"/>
      <c r="F95" s="72"/>
      <c r="G95" s="72"/>
      <c r="H95" s="72"/>
      <c r="I95" s="72"/>
      <c r="J95" s="51"/>
      <c r="K95" s="51"/>
      <c r="L95" s="51"/>
      <c r="M95" s="51"/>
      <c r="N95" s="51"/>
      <c r="O95" s="51"/>
      <c r="P95" s="5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spans="1:26" s="48" customFormat="1" ht="15" customHeight="1">
      <c r="A96" s="51"/>
      <c r="B96" s="131"/>
      <c r="C96" s="131"/>
      <c r="D96" s="118" t="s">
        <v>109</v>
      </c>
      <c r="E96" s="119">
        <f>SUM(H90:M90)</f>
        <v>50.8</v>
      </c>
      <c r="F96" s="439" t="s">
        <v>259</v>
      </c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s="48" customFormat="1" ht="15" customHeight="1">
      <c r="A97" s="51"/>
      <c r="B97" s="51"/>
      <c r="C97" s="51"/>
      <c r="D97" s="120" t="s">
        <v>110</v>
      </c>
      <c r="E97" s="119">
        <f>COS(ATAN(E98/E96))</f>
        <v>0.8</v>
      </c>
      <c r="F97" s="440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s="48" customFormat="1" ht="15" customHeight="1">
      <c r="A98" s="51"/>
      <c r="B98" s="51"/>
      <c r="C98" s="139"/>
      <c r="D98" s="121" t="s">
        <v>111</v>
      </c>
      <c r="E98" s="119">
        <f>SUM(H92:M92)</f>
        <v>38.1</v>
      </c>
      <c r="F98" s="440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s="48" customFormat="1" ht="15" customHeight="1">
      <c r="A99" s="51"/>
      <c r="B99" s="51"/>
      <c r="C99" s="51"/>
      <c r="D99" s="121" t="s">
        <v>112</v>
      </c>
      <c r="E99" s="119">
        <f>SQRT(POWER(E96,2)+POWER(E98,2))</f>
        <v>63.5</v>
      </c>
      <c r="F99" s="44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s="48" customFormat="1" ht="15" customHeight="1">
      <c r="A100" s="51"/>
      <c r="B100" s="51"/>
      <c r="C100" s="140"/>
      <c r="D100" s="122" t="s">
        <v>115</v>
      </c>
      <c r="E100" s="119">
        <f>SQRT(POWER((SUM(H103:M103,K106)),2)+POWER((SUM(H104:M104,K107)),2))</f>
        <v>96.48</v>
      </c>
      <c r="F100" s="44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4:26" ht="12.75" hidden="1">
      <c r="D101" s="53"/>
      <c r="E101" s="53"/>
      <c r="F101" s="53"/>
      <c r="G101" s="131"/>
      <c r="H101" s="131"/>
      <c r="I101" s="131"/>
      <c r="J101" s="51"/>
      <c r="K101" s="51"/>
      <c r="L101" s="51"/>
      <c r="M101" s="51"/>
      <c r="N101" s="51"/>
      <c r="O101" s="51"/>
      <c r="P101" s="5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spans="4:26" ht="12.75" customHeight="1" hidden="1">
      <c r="D102" s="53"/>
      <c r="E102" s="53"/>
      <c r="F102" s="53"/>
      <c r="G102" s="131"/>
      <c r="H102" s="131"/>
      <c r="I102" s="131"/>
      <c r="J102" s="51"/>
      <c r="K102" s="51"/>
      <c r="L102" s="51"/>
      <c r="M102" s="51"/>
      <c r="N102" s="51"/>
      <c r="O102" s="51"/>
      <c r="P102" s="5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spans="4:26" ht="12.75" customHeight="1" hidden="1">
      <c r="D103" s="53"/>
      <c r="E103" s="53"/>
      <c r="F103" s="53"/>
      <c r="G103" s="209">
        <f>G80*G77</f>
        <v>0</v>
      </c>
      <c r="H103" s="51">
        <f>H94*H91</f>
        <v>0</v>
      </c>
      <c r="I103" s="51">
        <f>I94*I91</f>
        <v>77.1824</v>
      </c>
      <c r="J103" s="51">
        <f>J94*J91</f>
        <v>0</v>
      </c>
      <c r="K103" s="208">
        <f>Q93*VLOOKUP(Q90,'Параметры двигателей'!A2:K67,6,FALSE)</f>
        <v>0</v>
      </c>
      <c r="L103" s="51">
        <f>L94*L91</f>
        <v>0</v>
      </c>
      <c r="M103" s="51">
        <f>M94*M91</f>
        <v>0</v>
      </c>
      <c r="N103" s="51"/>
      <c r="O103" s="51"/>
      <c r="P103" s="5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</row>
    <row r="104" spans="4:26" ht="12.75" customHeight="1" hidden="1">
      <c r="D104" s="53"/>
      <c r="E104" s="53"/>
      <c r="F104" s="53"/>
      <c r="G104" s="209">
        <f>G80*SIN(ACOS(G77))</f>
        <v>0</v>
      </c>
      <c r="H104" s="51">
        <f>H94*SIN(ACOS(H91))</f>
        <v>0</v>
      </c>
      <c r="I104" s="51">
        <f>I94*SIN(ACOS(I91))</f>
        <v>57.8868</v>
      </c>
      <c r="J104" s="51">
        <f>J94*SIN(ACOS(J91))</f>
        <v>0</v>
      </c>
      <c r="K104" s="208">
        <f>Q93*SIN(ACOS(VLOOKUP(Q90,'Параметры двигателей'!A2:K67,6,FALSE)))</f>
        <v>0</v>
      </c>
      <c r="L104" s="51">
        <f>L94*SIN(ACOS(L91))</f>
        <v>0</v>
      </c>
      <c r="M104" s="51">
        <f>M94*SIN(ACOS(M91))</f>
        <v>0</v>
      </c>
      <c r="N104" s="51"/>
      <c r="O104" s="51"/>
      <c r="P104" s="5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</row>
    <row r="105" spans="4:26" ht="12.75" customHeight="1" hidden="1">
      <c r="D105" s="53"/>
      <c r="E105" s="53"/>
      <c r="F105" s="53"/>
      <c r="G105" s="209"/>
      <c r="H105" s="131"/>
      <c r="I105" s="131"/>
      <c r="J105" s="51"/>
      <c r="K105" s="208">
        <f>K75*TAN(ACOS(VLOOKUP(Q90,'Параметры двигателей'!A2:K67,6,FALSE)))</f>
        <v>0</v>
      </c>
      <c r="L105" s="51"/>
      <c r="M105" s="51"/>
      <c r="N105" s="51"/>
      <c r="O105" s="51"/>
      <c r="P105" s="5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spans="4:26" ht="12.75" customHeight="1" hidden="1">
      <c r="D106" s="53"/>
      <c r="E106" s="53"/>
      <c r="F106" s="53"/>
      <c r="G106" s="209">
        <f>G87*G84</f>
        <v>0</v>
      </c>
      <c r="H106" s="131"/>
      <c r="I106" s="131"/>
      <c r="J106" s="51"/>
      <c r="K106" s="208">
        <f>U93*VLOOKUP(U90,'Параметры двигателей'!A2:K67,6,FALSE)</f>
        <v>0</v>
      </c>
      <c r="L106" s="51"/>
      <c r="M106" s="51"/>
      <c r="N106" s="51"/>
      <c r="O106" s="51"/>
      <c r="P106" s="5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</row>
    <row r="107" spans="4:26" ht="12.75" customHeight="1" hidden="1">
      <c r="D107" s="53"/>
      <c r="E107" s="53"/>
      <c r="F107" s="53"/>
      <c r="G107" s="209">
        <f>G87*SIN(ACOS(G84))</f>
        <v>0</v>
      </c>
      <c r="H107" s="131"/>
      <c r="I107" s="131"/>
      <c r="J107" s="51"/>
      <c r="K107" s="208">
        <f>U93*SIN(ACOS(VLOOKUP(U90,'Параметры двигателей'!A2:K67,6,FALSE)))</f>
        <v>0</v>
      </c>
      <c r="L107" s="51"/>
      <c r="M107" s="51"/>
      <c r="N107" s="51"/>
      <c r="O107" s="51"/>
      <c r="P107" s="5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</row>
    <row r="108" spans="4:26" ht="12.75" customHeight="1" hidden="1">
      <c r="D108" s="53"/>
      <c r="E108" s="53"/>
      <c r="F108" s="53"/>
      <c r="G108" s="209"/>
      <c r="H108" s="131"/>
      <c r="I108" s="131"/>
      <c r="J108" s="51"/>
      <c r="K108" s="208">
        <f>K76*TAN(ACOS(VLOOKUP(U90,'Параметры двигателей'!A2:K67,6,FALSE)))</f>
        <v>0</v>
      </c>
      <c r="L108" s="51"/>
      <c r="M108" s="51"/>
      <c r="N108" s="51"/>
      <c r="O108" s="51"/>
      <c r="P108" s="5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spans="4:26" ht="12.75" customHeight="1" hidden="1">
      <c r="D109" s="53"/>
      <c r="E109" s="53"/>
      <c r="F109" s="53"/>
      <c r="G109" s="209">
        <f>SQRT(POWER((G103+G106),2)+POWER((G104+G107),2))</f>
        <v>0</v>
      </c>
      <c r="H109" s="131"/>
      <c r="I109" s="131"/>
      <c r="J109" s="51"/>
      <c r="K109" s="208">
        <f>SQRT(POWER((K103+K106),2)+POWER((K104+K107),2))</f>
        <v>0</v>
      </c>
      <c r="L109" s="51"/>
      <c r="M109" s="51"/>
      <c r="N109" s="51"/>
      <c r="O109" s="51"/>
      <c r="P109" s="5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</row>
    <row r="110" spans="4:26" ht="12.75" customHeight="1" hidden="1">
      <c r="D110" s="53"/>
      <c r="E110" s="53"/>
      <c r="F110" s="53"/>
      <c r="G110" s="131"/>
      <c r="H110" s="131"/>
      <c r="I110" s="131"/>
      <c r="J110" s="51"/>
      <c r="K110" s="51"/>
      <c r="L110" s="51"/>
      <c r="M110" s="51"/>
      <c r="N110" s="51"/>
      <c r="O110" s="51"/>
      <c r="P110" s="5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spans="4:26" ht="12.75" customHeight="1" hidden="1">
      <c r="D111" s="53"/>
      <c r="E111" s="53"/>
      <c r="F111" s="53"/>
      <c r="G111" s="131"/>
      <c r="H111" s="131"/>
      <c r="I111" s="131"/>
      <c r="J111" s="51"/>
      <c r="K111" s="51"/>
      <c r="L111" s="51"/>
      <c r="M111" s="51"/>
      <c r="N111" s="51"/>
      <c r="O111" s="51"/>
      <c r="P111" s="5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</row>
    <row r="112" spans="4:26" ht="12.75" customHeight="1" hidden="1">
      <c r="D112" s="53"/>
      <c r="E112" s="53"/>
      <c r="F112" s="53"/>
      <c r="G112" s="131"/>
      <c r="H112" s="131"/>
      <c r="I112" s="131"/>
      <c r="J112" s="51"/>
      <c r="K112" s="51"/>
      <c r="L112" s="51"/>
      <c r="M112" s="51"/>
      <c r="N112" s="51"/>
      <c r="O112" s="51"/>
      <c r="P112" s="5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spans="4:26" ht="12.75" hidden="1">
      <c r="D113" s="53"/>
      <c r="E113" s="53"/>
      <c r="F113" s="53"/>
      <c r="G113" s="131"/>
      <c r="H113" s="131"/>
      <c r="I113" s="131"/>
      <c r="J113" s="51"/>
      <c r="K113" s="51"/>
      <c r="L113" s="51"/>
      <c r="M113" s="51"/>
      <c r="N113" s="51"/>
      <c r="O113" s="51"/>
      <c r="P113" s="5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spans="4:26" ht="12.75">
      <c r="D114" s="131"/>
      <c r="E114" s="131"/>
      <c r="F114" s="131"/>
      <c r="G114" s="131"/>
      <c r="H114" s="131"/>
      <c r="I114" s="131"/>
      <c r="J114" s="51"/>
      <c r="K114" s="51"/>
      <c r="L114" s="51"/>
      <c r="M114" s="51"/>
      <c r="N114" s="51"/>
      <c r="O114" s="51"/>
      <c r="P114" s="5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</row>
    <row r="115" spans="4:26" ht="12.75">
      <c r="D115" s="131"/>
      <c r="E115" s="131"/>
      <c r="F115" s="131"/>
      <c r="G115" s="131"/>
      <c r="H115" s="131"/>
      <c r="I115" s="131"/>
      <c r="J115" s="51"/>
      <c r="K115" s="51"/>
      <c r="L115" s="51"/>
      <c r="M115" s="51"/>
      <c r="N115" s="51"/>
      <c r="O115" s="51"/>
      <c r="P115" s="5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</row>
    <row r="116" spans="4:26" ht="12.75">
      <c r="D116" s="131"/>
      <c r="E116" s="131"/>
      <c r="F116" s="131"/>
      <c r="G116" s="131"/>
      <c r="H116" s="131"/>
      <c r="I116" s="131"/>
      <c r="J116" s="51"/>
      <c r="K116" s="51"/>
      <c r="L116" s="51"/>
      <c r="M116" s="51"/>
      <c r="N116" s="51"/>
      <c r="O116" s="51"/>
      <c r="P116" s="5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</row>
    <row r="117" spans="4:26" ht="12.75">
      <c r="D117" s="131"/>
      <c r="E117" s="131"/>
      <c r="F117" s="131"/>
      <c r="G117" s="131"/>
      <c r="H117" s="131"/>
      <c r="I117" s="131"/>
      <c r="J117" s="51"/>
      <c r="K117" s="51"/>
      <c r="L117" s="51"/>
      <c r="M117" s="51"/>
      <c r="N117" s="51"/>
      <c r="O117" s="51"/>
      <c r="P117" s="5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spans="4:26" ht="12.75">
      <c r="D118" s="131"/>
      <c r="E118" s="131"/>
      <c r="F118" s="131"/>
      <c r="G118" s="131"/>
      <c r="H118" s="131"/>
      <c r="I118" s="131"/>
      <c r="J118" s="51"/>
      <c r="K118" s="51"/>
      <c r="L118" s="51"/>
      <c r="M118" s="51"/>
      <c r="N118" s="51"/>
      <c r="O118" s="51"/>
      <c r="P118" s="5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spans="4:26" ht="12.75">
      <c r="D119" s="131"/>
      <c r="E119" s="131"/>
      <c r="F119" s="131"/>
      <c r="G119" s="131"/>
      <c r="H119" s="131"/>
      <c r="I119" s="131"/>
      <c r="J119" s="51"/>
      <c r="K119" s="51"/>
      <c r="L119" s="51"/>
      <c r="M119" s="51"/>
      <c r="N119" s="51"/>
      <c r="O119" s="51"/>
      <c r="P119" s="5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spans="4:26" ht="12.75">
      <c r="D120" s="131"/>
      <c r="E120" s="131"/>
      <c r="F120" s="131"/>
      <c r="G120" s="131"/>
      <c r="H120" s="131"/>
      <c r="I120" s="131"/>
      <c r="J120" s="51"/>
      <c r="K120" s="51"/>
      <c r="L120" s="51"/>
      <c r="M120" s="51"/>
      <c r="N120" s="51"/>
      <c r="O120" s="51"/>
      <c r="P120" s="5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spans="4:26" ht="12.75">
      <c r="D121" s="131"/>
      <c r="E121" s="131"/>
      <c r="F121" s="131"/>
      <c r="G121" s="131"/>
      <c r="H121" s="131"/>
      <c r="I121" s="131"/>
      <c r="J121" s="51"/>
      <c r="K121" s="51"/>
      <c r="L121" s="51"/>
      <c r="M121" s="51"/>
      <c r="N121" s="51"/>
      <c r="O121" s="51"/>
      <c r="P121" s="5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spans="4:26" ht="12.75">
      <c r="D122" s="131"/>
      <c r="E122" s="131"/>
      <c r="F122" s="131"/>
      <c r="G122" s="131"/>
      <c r="H122" s="131"/>
      <c r="I122" s="131"/>
      <c r="J122" s="51"/>
      <c r="K122" s="51"/>
      <c r="L122" s="51"/>
      <c r="M122" s="5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spans="4:26" ht="12.75"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spans="4:26" ht="12.75"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spans="4:26" ht="12.75"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spans="4:26" ht="12.75"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spans="4:26" ht="12.75"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spans="4:26" ht="12.75"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</sheetData>
  <sheetProtection sheet="1" objects="1" scenarios="1" selectLockedCells="1"/>
  <mergeCells count="98">
    <mergeCell ref="G71:I71"/>
    <mergeCell ref="G68:H68"/>
    <mergeCell ref="L71:P71"/>
    <mergeCell ref="L69:P69"/>
    <mergeCell ref="L70:P70"/>
    <mergeCell ref="G69:I69"/>
    <mergeCell ref="G70:I70"/>
    <mergeCell ref="L68:N68"/>
    <mergeCell ref="R69:U69"/>
    <mergeCell ref="R66:V66"/>
    <mergeCell ref="R67:U67"/>
    <mergeCell ref="R68:V68"/>
    <mergeCell ref="L66:Q66"/>
    <mergeCell ref="L67:N67"/>
    <mergeCell ref="G66:K66"/>
    <mergeCell ref="G67:H67"/>
    <mergeCell ref="F96:F100"/>
    <mergeCell ref="S72:V72"/>
    <mergeCell ref="S73:U73"/>
    <mergeCell ref="S74:U74"/>
    <mergeCell ref="S75:U75"/>
    <mergeCell ref="R93:T93"/>
    <mergeCell ref="Q94:U94"/>
    <mergeCell ref="Q88:U88"/>
    <mergeCell ref="S80:V80"/>
    <mergeCell ref="S81:U81"/>
    <mergeCell ref="S82:U82"/>
    <mergeCell ref="S83:U83"/>
    <mergeCell ref="R89:T89"/>
    <mergeCell ref="R90:T90"/>
    <mergeCell ref="S86:U86"/>
    <mergeCell ref="R91:T91"/>
    <mergeCell ref="R92:T92"/>
    <mergeCell ref="N78:P78"/>
    <mergeCell ref="N75:Q75"/>
    <mergeCell ref="R87:U87"/>
    <mergeCell ref="S84:U84"/>
    <mergeCell ref="S85:U85"/>
    <mergeCell ref="S77:U77"/>
    <mergeCell ref="S78:U78"/>
    <mergeCell ref="S79:U79"/>
    <mergeCell ref="E4:R4"/>
    <mergeCell ref="E54:M54"/>
    <mergeCell ref="D38:E38"/>
    <mergeCell ref="D39:E39"/>
    <mergeCell ref="D40:E40"/>
    <mergeCell ref="D35:E35"/>
    <mergeCell ref="D34:F34"/>
    <mergeCell ref="D72:D73"/>
    <mergeCell ref="E72:E73"/>
    <mergeCell ref="F72:F73"/>
    <mergeCell ref="G72:G73"/>
    <mergeCell ref="N73:Q73"/>
    <mergeCell ref="N85:P85"/>
    <mergeCell ref="N82:Q82"/>
    <mergeCell ref="N81:P81"/>
    <mergeCell ref="N83:P83"/>
    <mergeCell ref="N84:P84"/>
    <mergeCell ref="N80:Q80"/>
    <mergeCell ref="N74:P74"/>
    <mergeCell ref="N76:P76"/>
    <mergeCell ref="N77:P77"/>
    <mergeCell ref="N92:P92"/>
    <mergeCell ref="N93:P93"/>
    <mergeCell ref="N91:P91"/>
    <mergeCell ref="N87:Q87"/>
    <mergeCell ref="N88:P88"/>
    <mergeCell ref="N90:P90"/>
    <mergeCell ref="AE33:AE34"/>
    <mergeCell ref="AF33:AF34"/>
    <mergeCell ref="AG33:AH34"/>
    <mergeCell ref="AE28:AH32"/>
    <mergeCell ref="AG41:AH41"/>
    <mergeCell ref="AG42:AH42"/>
    <mergeCell ref="AG35:AH35"/>
    <mergeCell ref="AG36:AH36"/>
    <mergeCell ref="AG37:AH37"/>
    <mergeCell ref="AG38:AH38"/>
    <mergeCell ref="AE11:AH14"/>
    <mergeCell ref="N94:P94"/>
    <mergeCell ref="AM13:AN13"/>
    <mergeCell ref="AI21:AL25"/>
    <mergeCell ref="N89:P89"/>
    <mergeCell ref="AE15:AE16"/>
    <mergeCell ref="AF15:AF16"/>
    <mergeCell ref="AG15:AH15"/>
    <mergeCell ref="AG39:AH39"/>
    <mergeCell ref="AG40:AH40"/>
    <mergeCell ref="G64:J64"/>
    <mergeCell ref="G65:J65"/>
    <mergeCell ref="G61:K61"/>
    <mergeCell ref="L61:Q61"/>
    <mergeCell ref="L62:P62"/>
    <mergeCell ref="L63:P63"/>
    <mergeCell ref="L64:P64"/>
    <mergeCell ref="L65:P65"/>
    <mergeCell ref="G62:J62"/>
    <mergeCell ref="G63:J63"/>
  </mergeCells>
  <printOptions/>
  <pageMargins left="0.75" right="0.75" top="1" bottom="1" header="0.5" footer="0.5"/>
  <pageSetup horizontalDpi="600" verticalDpi="600" orientation="portrait" paperSize="9" r:id="rId3"/>
  <ignoredErrors>
    <ignoredError sqref="E91" 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C61"/>
  <sheetViews>
    <sheetView zoomScale="75" zoomScaleNormal="75" workbookViewId="0" topLeftCell="AP4">
      <selection activeCell="BA10" sqref="BA10"/>
    </sheetView>
  </sheetViews>
  <sheetFormatPr defaultColWidth="9.140625" defaultRowHeight="12.75"/>
  <cols>
    <col min="27" max="27" width="14.00390625" style="0" bestFit="1" customWidth="1"/>
    <col min="28" max="28" width="24.7109375" style="0" customWidth="1"/>
    <col min="29" max="29" width="17.00390625" style="0" customWidth="1"/>
    <col min="32" max="32" width="24.140625" style="0" customWidth="1"/>
    <col min="37" max="37" width="20.140625" style="0" customWidth="1"/>
    <col min="38" max="38" width="11.00390625" style="0" customWidth="1"/>
    <col min="39" max="39" width="12.00390625" style="0" customWidth="1"/>
    <col min="40" max="40" width="12.7109375" style="0" customWidth="1"/>
    <col min="41" max="41" width="15.57421875" style="0" customWidth="1"/>
    <col min="42" max="42" width="13.57421875" style="0" customWidth="1"/>
    <col min="43" max="43" width="21.28125" style="0" customWidth="1"/>
    <col min="44" max="44" width="15.28125" style="0" customWidth="1"/>
    <col min="45" max="45" width="22.140625" style="0" customWidth="1"/>
    <col min="46" max="46" width="15.28125" style="0" customWidth="1"/>
    <col min="47" max="47" width="22.00390625" style="0" customWidth="1"/>
    <col min="48" max="48" width="20.140625" style="0" customWidth="1"/>
    <col min="49" max="49" width="13.421875" style="0" customWidth="1"/>
    <col min="50" max="50" width="13.7109375" style="0" customWidth="1"/>
    <col min="51" max="51" width="16.57421875" style="0" customWidth="1"/>
    <col min="52" max="52" width="16.00390625" style="0" customWidth="1"/>
    <col min="53" max="53" width="16.7109375" style="0" customWidth="1"/>
    <col min="54" max="54" width="16.57421875" style="0" customWidth="1"/>
  </cols>
  <sheetData>
    <row r="1" spans="2:20" ht="107.25" customHeight="1">
      <c r="B1" s="478" t="s">
        <v>90</v>
      </c>
      <c r="C1" s="478"/>
      <c r="D1" s="478"/>
      <c r="E1" s="478"/>
      <c r="F1" s="478"/>
      <c r="G1" s="478"/>
      <c r="H1" s="478"/>
      <c r="I1" s="474" t="s">
        <v>91</v>
      </c>
      <c r="J1" s="474"/>
      <c r="K1" s="474"/>
      <c r="L1" s="474"/>
      <c r="M1" s="474"/>
      <c r="N1" s="478" t="s">
        <v>92</v>
      </c>
      <c r="O1" s="478"/>
      <c r="P1" s="478"/>
      <c r="Q1" s="478"/>
      <c r="R1" s="478"/>
      <c r="S1" s="478"/>
      <c r="T1" s="478"/>
    </row>
    <row r="2" spans="2:14" ht="12.75">
      <c r="B2" s="8"/>
      <c r="N2" s="8"/>
    </row>
    <row r="3" spans="1:24" ht="12.75" customHeight="1">
      <c r="A3" s="9" t="s">
        <v>47</v>
      </c>
      <c r="B3" s="9" t="s">
        <v>48</v>
      </c>
      <c r="C3" s="473" t="s">
        <v>49</v>
      </c>
      <c r="D3" s="471"/>
      <c r="E3" s="471"/>
      <c r="F3" s="471"/>
      <c r="G3" s="471"/>
      <c r="H3" s="472"/>
      <c r="I3" s="471"/>
      <c r="J3" s="471"/>
      <c r="K3" s="471"/>
      <c r="L3" s="472"/>
      <c r="M3" s="11"/>
      <c r="N3" s="9" t="s">
        <v>48</v>
      </c>
      <c r="O3" s="473" t="s">
        <v>49</v>
      </c>
      <c r="P3" s="471"/>
      <c r="Q3" s="471"/>
      <c r="R3" s="471"/>
      <c r="S3" s="471"/>
      <c r="T3" s="472"/>
      <c r="U3" s="471"/>
      <c r="V3" s="471"/>
      <c r="W3" s="471"/>
      <c r="X3" s="472"/>
    </row>
    <row r="4" spans="1:53" ht="39.75" customHeight="1">
      <c r="A4" s="12"/>
      <c r="B4" s="12" t="s">
        <v>50</v>
      </c>
      <c r="C4" s="13" t="s">
        <v>51</v>
      </c>
      <c r="D4" s="473" t="s">
        <v>52</v>
      </c>
      <c r="E4" s="471"/>
      <c r="F4" s="471"/>
      <c r="G4" s="471"/>
      <c r="H4" s="472"/>
      <c r="I4" s="473" t="s">
        <v>53</v>
      </c>
      <c r="J4" s="472"/>
      <c r="K4" s="473" t="s">
        <v>54</v>
      </c>
      <c r="L4" s="472"/>
      <c r="M4" s="13" t="s">
        <v>55</v>
      </c>
      <c r="N4" s="12" t="s">
        <v>56</v>
      </c>
      <c r="O4" s="13" t="s">
        <v>51</v>
      </c>
      <c r="P4" s="473" t="s">
        <v>52</v>
      </c>
      <c r="Q4" s="471"/>
      <c r="R4" s="471"/>
      <c r="S4" s="471"/>
      <c r="T4" s="472"/>
      <c r="U4" s="473" t="s">
        <v>53</v>
      </c>
      <c r="V4" s="472"/>
      <c r="W4" s="473" t="s">
        <v>54</v>
      </c>
      <c r="X4" s="472"/>
      <c r="Y4" s="13" t="s">
        <v>55</v>
      </c>
      <c r="Z4" s="482" t="s">
        <v>57</v>
      </c>
      <c r="AA4" s="483"/>
      <c r="AQ4" s="300" t="s">
        <v>303</v>
      </c>
      <c r="AR4" s="479" t="s">
        <v>297</v>
      </c>
      <c r="AS4" s="479"/>
      <c r="AT4" s="479" t="s">
        <v>298</v>
      </c>
      <c r="AU4" s="479"/>
      <c r="AV4" s="300"/>
      <c r="AW4" s="299" t="s">
        <v>311</v>
      </c>
      <c r="AX4" s="299" t="s">
        <v>312</v>
      </c>
      <c r="AY4" s="299" t="s">
        <v>307</v>
      </c>
      <c r="AZ4" s="299" t="s">
        <v>313</v>
      </c>
      <c r="BA4" s="299" t="s">
        <v>314</v>
      </c>
    </row>
    <row r="5" spans="1:51" ht="38.25" customHeight="1">
      <c r="A5" s="15"/>
      <c r="B5" s="15" t="s">
        <v>93</v>
      </c>
      <c r="C5" s="16"/>
      <c r="D5" s="17" t="s">
        <v>58</v>
      </c>
      <c r="E5" s="10" t="s">
        <v>59</v>
      </c>
      <c r="F5" s="10" t="s">
        <v>60</v>
      </c>
      <c r="G5" s="10" t="s">
        <v>61</v>
      </c>
      <c r="H5" s="10" t="s">
        <v>62</v>
      </c>
      <c r="I5" s="471"/>
      <c r="J5" s="471"/>
      <c r="K5" s="471"/>
      <c r="L5" s="472"/>
      <c r="M5" s="17" t="s">
        <v>63</v>
      </c>
      <c r="N5" s="15" t="s">
        <v>93</v>
      </c>
      <c r="O5" s="16"/>
      <c r="P5" s="17" t="s">
        <v>58</v>
      </c>
      <c r="Q5" s="10" t="s">
        <v>59</v>
      </c>
      <c r="R5" s="10" t="s">
        <v>60</v>
      </c>
      <c r="S5" s="10" t="s">
        <v>64</v>
      </c>
      <c r="T5" s="10" t="s">
        <v>62</v>
      </c>
      <c r="U5" s="471"/>
      <c r="V5" s="471"/>
      <c r="W5" s="471"/>
      <c r="X5" s="472"/>
      <c r="Y5" s="17" t="s">
        <v>65</v>
      </c>
      <c r="Z5" s="14" t="s">
        <v>66</v>
      </c>
      <c r="AA5" s="14" t="s">
        <v>67</v>
      </c>
      <c r="AK5" s="299" t="s">
        <v>278</v>
      </c>
      <c r="AL5" s="299" t="s">
        <v>310</v>
      </c>
      <c r="AM5" s="299" t="s">
        <v>309</v>
      </c>
      <c r="AN5" s="299" t="s">
        <v>308</v>
      </c>
      <c r="AO5" s="299" t="s">
        <v>307</v>
      </c>
      <c r="AP5" s="299"/>
      <c r="AR5" s="299" t="s">
        <v>293</v>
      </c>
      <c r="AS5" s="299" t="s">
        <v>294</v>
      </c>
      <c r="AT5" s="299" t="s">
        <v>293</v>
      </c>
      <c r="AU5" s="299" t="s">
        <v>294</v>
      </c>
      <c r="AV5" s="299">
        <f>SQRT(AW5*AW5+AX5*AX5)</f>
        <v>17.9627392120467</v>
      </c>
      <c r="AW5" s="299">
        <f>VLOOKUP('Выбор сечения'!B37,ПУЭ!AJ6:AO13,3,FALSE)</f>
        <v>5.5</v>
      </c>
      <c r="AX5" s="299">
        <f>VLOOKUP('Выбор сечения'!B37,ПУЭ!AJ6:AO13,4,FALSE)</f>
        <v>17.1</v>
      </c>
      <c r="AY5" s="299">
        <f>VLOOKUP('Выбор сечения'!B37,ПУЭ!AJ6:AO13,6,FALSE)/3</f>
        <v>65</v>
      </c>
    </row>
    <row r="6" spans="1:55" ht="15" customHeight="1">
      <c r="A6" s="12"/>
      <c r="B6" s="12"/>
      <c r="C6" s="18"/>
      <c r="D6" s="13"/>
      <c r="E6" s="13"/>
      <c r="F6" s="13"/>
      <c r="G6" s="13"/>
      <c r="H6" s="13"/>
      <c r="I6" s="10" t="s">
        <v>68</v>
      </c>
      <c r="J6" s="10" t="s">
        <v>69</v>
      </c>
      <c r="K6" s="10" t="s">
        <v>68</v>
      </c>
      <c r="L6" s="10" t="s">
        <v>69</v>
      </c>
      <c r="M6" s="13"/>
      <c r="N6" s="12"/>
      <c r="O6" s="18"/>
      <c r="P6" s="13"/>
      <c r="Q6" s="13"/>
      <c r="R6" s="13"/>
      <c r="S6" s="13"/>
      <c r="T6" s="13"/>
      <c r="U6" s="10" t="s">
        <v>68</v>
      </c>
      <c r="V6" s="10" t="s">
        <v>69</v>
      </c>
      <c r="W6" s="10" t="s">
        <v>68</v>
      </c>
      <c r="X6" s="10" t="s">
        <v>69</v>
      </c>
      <c r="Y6" s="13"/>
      <c r="Z6" s="14"/>
      <c r="AA6" s="14"/>
      <c r="AJ6">
        <v>1</v>
      </c>
      <c r="AK6" t="s">
        <v>315</v>
      </c>
      <c r="AL6">
        <v>5.5</v>
      </c>
      <c r="AM6">
        <v>17.1</v>
      </c>
      <c r="AN6">
        <v>18</v>
      </c>
      <c r="AO6">
        <v>195</v>
      </c>
      <c r="AP6">
        <v>1</v>
      </c>
      <c r="AQ6" t="s">
        <v>279</v>
      </c>
      <c r="AR6">
        <f aca="true" t="shared" si="0" ref="AR6:AR13">AR28*2</f>
        <v>24.6</v>
      </c>
      <c r="AS6">
        <f>AS28*2/1000000</f>
        <v>0</v>
      </c>
      <c r="AT6">
        <f aca="true" t="shared" si="1" ref="AT6:AT13">AT28*2</f>
        <v>0.252</v>
      </c>
      <c r="AU6">
        <f>AU28*2/1000000</f>
        <v>0</v>
      </c>
      <c r="AW6">
        <f>VLOOKUP('Выбор сечения'!C37,AP28:AU498,IF(ПУЭ!AB22=TRUE,4,3),FALSE)*'Выбор сечения'!E37</f>
        <v>341.25</v>
      </c>
      <c r="AX6">
        <f>VLOOKUP('Выбор сечения'!C37,AP28:AU49,5,FALSE)*'Выбор сечения'!E37</f>
        <v>46.41</v>
      </c>
      <c r="AY6">
        <f>SQRT(AW6*AW6+AX6*AX6)</f>
        <v>344.391420624847</v>
      </c>
      <c r="AZ6">
        <f>VLOOKUP('Выбор сечения'!C37,AP6:AU27,IF(ПУЭ!AB22=TRUE,4,3),FALSE)*'Выбор сечения'!E37</f>
        <v>682.5</v>
      </c>
      <c r="BA6">
        <f>VLOOKUP('Выбор сечения'!C37,AP6:AU27,5,FALSE)*'Выбор сечения'!E37</f>
        <v>92.82</v>
      </c>
      <c r="BB6">
        <f>SQRT(AZ6*AZ6+BA6*BA6)</f>
        <v>688.782841249693</v>
      </c>
      <c r="BC6">
        <f>AV5+AY10+BB6+AY5</f>
        <v>771.766793665175</v>
      </c>
    </row>
    <row r="7" spans="1:55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J7">
        <v>2</v>
      </c>
      <c r="AK7" t="s">
        <v>316</v>
      </c>
      <c r="AL7">
        <v>5.9</v>
      </c>
      <c r="AM7">
        <v>21.2</v>
      </c>
      <c r="AN7">
        <v>18</v>
      </c>
      <c r="AO7">
        <v>56</v>
      </c>
      <c r="AP7">
        <v>2</v>
      </c>
      <c r="AQ7" t="s">
        <v>280</v>
      </c>
      <c r="AR7">
        <f t="shared" si="0"/>
        <v>14.8</v>
      </c>
      <c r="AS7">
        <f aca="true" t="shared" si="2" ref="AS7:AS13">AS29*2</f>
        <v>25</v>
      </c>
      <c r="AT7">
        <f t="shared" si="1"/>
        <v>0.232</v>
      </c>
      <c r="AU7">
        <f aca="true" t="shared" si="3" ref="AU7:AU13">AU29*2</f>
        <v>0.208</v>
      </c>
      <c r="AW7">
        <f>VLOOKUP('Выбор сечения'!C38,ПУЭ!AP28:AU48,IF(ПУЭ!AB23=TRUE,4,3),FALSE)*'Выбор сечения'!E38</f>
        <v>0</v>
      </c>
      <c r="AX7">
        <f>VLOOKUP('Выбор сечения'!C38,ПУЭ!AP28:AU48,5,FALSE)*'Выбор сечения'!E38</f>
        <v>0</v>
      </c>
      <c r="AY7">
        <f>SQRT(AW7*AW7+AX7*AX7)</f>
        <v>0</v>
      </c>
      <c r="AZ7">
        <f>VLOOKUP('Выбор сечения'!C38,AP6:AU27,IF(ПУЭ!AB23=TRUE,4,3),FALSE)*'Выбор сечения'!E38</f>
        <v>0</v>
      </c>
      <c r="BA7">
        <f>VLOOKUP('Выбор сечения'!C38,AP6:AU27,5,FALSE)*'Выбор сечения'!E38</f>
        <v>0</v>
      </c>
      <c r="BB7">
        <f>SQRT(AZ7*AZ7+BA7*BA7)</f>
        <v>0</v>
      </c>
      <c r="BC7">
        <f>AV5+BB6+BB7+AY10+AY5</f>
        <v>771.766793665175</v>
      </c>
    </row>
    <row r="8" spans="1:55" ht="12.75">
      <c r="A8" s="19">
        <v>1</v>
      </c>
      <c r="B8" s="20" t="s">
        <v>70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J8">
        <v>3</v>
      </c>
      <c r="AK8" t="s">
        <v>317</v>
      </c>
      <c r="AL8">
        <v>3.1</v>
      </c>
      <c r="AM8">
        <v>13.6</v>
      </c>
      <c r="AN8">
        <v>14</v>
      </c>
      <c r="AO8">
        <v>129</v>
      </c>
      <c r="AP8">
        <v>3</v>
      </c>
      <c r="AQ8" t="s">
        <v>281</v>
      </c>
      <c r="AR8">
        <f t="shared" si="0"/>
        <v>9.26</v>
      </c>
      <c r="AS8">
        <f t="shared" si="2"/>
        <v>15.62</v>
      </c>
      <c r="AT8">
        <f t="shared" si="1"/>
        <v>0.214</v>
      </c>
      <c r="AU8">
        <f t="shared" si="3"/>
        <v>0.19</v>
      </c>
      <c r="AW8">
        <f>VLOOKUP('Выбор сечения'!C39,ПУЭ!AP28:AU48,IF(ПУЭ!AB24=TRUE,4,3),FALSE)*'Выбор сечения'!E39</f>
        <v>0</v>
      </c>
      <c r="AX8">
        <f>VLOOKUP('Выбор сечения'!C39,ПУЭ!AP28:AU48,5,FALSE)*'Выбор сечения'!E39</f>
        <v>0</v>
      </c>
      <c r="AY8">
        <f>SQRT(AW8*AW8+AX8*AX8)</f>
        <v>0</v>
      </c>
      <c r="AZ8">
        <f>VLOOKUP('Выбор сечения'!C39,AP6:AU27,IF(ПУЭ!AB24=TRUE,4,3),FALSE)*'Выбор сечения'!E39</f>
        <v>0</v>
      </c>
      <c r="BA8">
        <f>VLOOKUP('Выбор сечения'!C39,AP6:AU27,5,FALSE)*'Выбор сечения'!E39</f>
        <v>0</v>
      </c>
      <c r="BB8">
        <f>SQRT(AZ8*AZ8+BA8*BA8)</f>
        <v>0</v>
      </c>
      <c r="BC8">
        <f>AV5+BB6+BB7+BB8+AY10+AY5</f>
        <v>771.766793665175</v>
      </c>
    </row>
    <row r="9" spans="1:55" ht="12.75">
      <c r="A9" s="22">
        <v>2</v>
      </c>
      <c r="B9" s="23">
        <v>0.5</v>
      </c>
      <c r="C9" s="24">
        <v>11</v>
      </c>
      <c r="D9" s="24" t="s">
        <v>71</v>
      </c>
      <c r="E9" s="24" t="s">
        <v>71</v>
      </c>
      <c r="F9" s="24" t="s">
        <v>71</v>
      </c>
      <c r="G9" s="24" t="s">
        <v>71</v>
      </c>
      <c r="H9" s="24" t="s">
        <v>71</v>
      </c>
      <c r="I9" s="24" t="s">
        <v>71</v>
      </c>
      <c r="J9" s="24" t="s">
        <v>71</v>
      </c>
      <c r="K9" s="24" t="s">
        <v>71</v>
      </c>
      <c r="L9" s="24" t="s">
        <v>71</v>
      </c>
      <c r="M9" s="25">
        <f>1000*0.0175/B9</f>
        <v>35</v>
      </c>
      <c r="N9" s="24" t="s">
        <v>71</v>
      </c>
      <c r="O9" s="24" t="s">
        <v>71</v>
      </c>
      <c r="P9" s="24" t="s">
        <v>71</v>
      </c>
      <c r="Q9" s="24" t="s">
        <v>71</v>
      </c>
      <c r="R9" s="24" t="s">
        <v>71</v>
      </c>
      <c r="S9" s="24" t="s">
        <v>71</v>
      </c>
      <c r="T9" s="24" t="s">
        <v>71</v>
      </c>
      <c r="U9" s="24" t="s">
        <v>71</v>
      </c>
      <c r="V9" s="24" t="s">
        <v>71</v>
      </c>
      <c r="W9" s="24" t="s">
        <v>71</v>
      </c>
      <c r="X9" s="24" t="s">
        <v>71</v>
      </c>
      <c r="Y9" s="24" t="s">
        <v>71</v>
      </c>
      <c r="Z9" s="24">
        <v>0.38</v>
      </c>
      <c r="AA9" s="24">
        <v>0.13</v>
      </c>
      <c r="AB9" s="26" t="s">
        <v>70</v>
      </c>
      <c r="AC9" s="27" t="s">
        <v>70</v>
      </c>
      <c r="AE9">
        <v>1</v>
      </c>
      <c r="AF9" s="26" t="s">
        <v>70</v>
      </c>
      <c r="AG9">
        <v>2</v>
      </c>
      <c r="AH9">
        <v>2</v>
      </c>
      <c r="AJ9">
        <v>4</v>
      </c>
      <c r="AK9" t="s">
        <v>320</v>
      </c>
      <c r="AL9">
        <v>3.4</v>
      </c>
      <c r="AM9">
        <v>13.5</v>
      </c>
      <c r="AN9">
        <v>14</v>
      </c>
      <c r="AO9">
        <v>42</v>
      </c>
      <c r="AP9">
        <v>4</v>
      </c>
      <c r="AQ9" t="s">
        <v>282</v>
      </c>
      <c r="AR9">
        <f t="shared" si="0"/>
        <v>6.18</v>
      </c>
      <c r="AS9">
        <f t="shared" si="2"/>
        <v>10.42</v>
      </c>
      <c r="AT9">
        <f t="shared" si="1"/>
        <v>0.2</v>
      </c>
      <c r="AU9">
        <f t="shared" si="3"/>
        <v>0.18</v>
      </c>
      <c r="AW9">
        <f>VLOOKUP('Выбор сечения'!C40,ПУЭ!AP28:AU48,IF(ПУЭ!AB25=TRUE,4,3),FALSE)*'Выбор сечения'!E40</f>
        <v>0</v>
      </c>
      <c r="AX9">
        <f>VLOOKUP('Выбор сечения'!C40,ПУЭ!AP28:AU48,5,FALSE)*'Выбор сечения'!E40</f>
        <v>0</v>
      </c>
      <c r="AY9">
        <f>SQRT(AW9*AW9+AX9*AX9)</f>
        <v>0</v>
      </c>
      <c r="AZ9">
        <f>VLOOKUP('Выбор сечения'!C40,AP6:AU27,IF(ПУЭ!AB25=TRUE,4,3),FALSE)*'Выбор сечения'!E40</f>
        <v>0</v>
      </c>
      <c r="BA9">
        <f>VLOOKUP('Выбор сечения'!C40,AP6:AU27,5,FALSE)*'Выбор сечения'!E40</f>
        <v>0</v>
      </c>
      <c r="BB9">
        <f>SQRT(AZ9*AZ9+BA9*BA9)</f>
        <v>0</v>
      </c>
      <c r="BC9">
        <f>AV5+BB6+BB7+BB8+BB9+AY10+AY5</f>
        <v>771.766793665175</v>
      </c>
    </row>
    <row r="10" spans="1:51" ht="12.75">
      <c r="A10" s="22">
        <v>3</v>
      </c>
      <c r="B10" s="23">
        <v>0.75</v>
      </c>
      <c r="C10" s="24">
        <v>15</v>
      </c>
      <c r="D10" s="24" t="s">
        <v>71</v>
      </c>
      <c r="E10" s="24" t="s">
        <v>71</v>
      </c>
      <c r="F10" s="24" t="s">
        <v>71</v>
      </c>
      <c r="G10" s="24" t="s">
        <v>71</v>
      </c>
      <c r="H10" s="24" t="s">
        <v>71</v>
      </c>
      <c r="I10" s="24" t="s">
        <v>71</v>
      </c>
      <c r="J10" s="24" t="s">
        <v>71</v>
      </c>
      <c r="K10" s="24" t="s">
        <v>71</v>
      </c>
      <c r="L10" s="24" t="s">
        <v>71</v>
      </c>
      <c r="M10" s="25">
        <f aca="true" t="shared" si="4" ref="M10:M28">1000*0.0175/B10</f>
        <v>23.33</v>
      </c>
      <c r="N10" s="24" t="s">
        <v>71</v>
      </c>
      <c r="O10" s="24" t="s">
        <v>71</v>
      </c>
      <c r="P10" s="24" t="s">
        <v>71</v>
      </c>
      <c r="Q10" s="24" t="s">
        <v>71</v>
      </c>
      <c r="R10" s="24" t="s">
        <v>71</v>
      </c>
      <c r="S10" s="24" t="s">
        <v>71</v>
      </c>
      <c r="T10" s="24" t="s">
        <v>71</v>
      </c>
      <c r="U10" s="24" t="s">
        <v>71</v>
      </c>
      <c r="V10" s="24" t="s">
        <v>71</v>
      </c>
      <c r="W10" s="24" t="s">
        <v>71</v>
      </c>
      <c r="X10" s="24" t="s">
        <v>71</v>
      </c>
      <c r="Y10" s="24" t="s">
        <v>71</v>
      </c>
      <c r="Z10" s="24">
        <v>0.37</v>
      </c>
      <c r="AA10" s="24">
        <v>0.125</v>
      </c>
      <c r="AB10" t="s">
        <v>72</v>
      </c>
      <c r="AC10" s="28" t="s">
        <v>73</v>
      </c>
      <c r="AE10">
        <v>2</v>
      </c>
      <c r="AF10" t="s">
        <v>72</v>
      </c>
      <c r="AG10">
        <v>3</v>
      </c>
      <c r="AH10">
        <v>15</v>
      </c>
      <c r="AJ10">
        <v>5</v>
      </c>
      <c r="AK10" t="s">
        <v>318</v>
      </c>
      <c r="AL10">
        <v>2</v>
      </c>
      <c r="AM10">
        <v>8.5</v>
      </c>
      <c r="AN10">
        <v>8.8</v>
      </c>
      <c r="AO10">
        <v>81</v>
      </c>
      <c r="AP10">
        <v>5</v>
      </c>
      <c r="AQ10" t="s">
        <v>283</v>
      </c>
      <c r="AR10">
        <f t="shared" si="0"/>
        <v>3.68</v>
      </c>
      <c r="AS10">
        <f t="shared" si="2"/>
        <v>6.24</v>
      </c>
      <c r="AT10">
        <f t="shared" si="1"/>
        <v>0.198</v>
      </c>
      <c r="AU10">
        <f t="shared" si="3"/>
        <v>0.146</v>
      </c>
      <c r="AW10">
        <v>0.015</v>
      </c>
      <c r="AX10">
        <v>0.015</v>
      </c>
      <c r="AY10">
        <f>SQRT(AW10*AW10+AX10*AX10)</f>
        <v>0.0212132034355964</v>
      </c>
    </row>
    <row r="11" spans="1:47" ht="12.75">
      <c r="A11" s="22">
        <v>4</v>
      </c>
      <c r="B11" s="23">
        <v>1</v>
      </c>
      <c r="C11" s="24">
        <v>17</v>
      </c>
      <c r="D11" s="24">
        <v>16</v>
      </c>
      <c r="E11" s="24">
        <v>15</v>
      </c>
      <c r="F11" s="24">
        <v>14</v>
      </c>
      <c r="G11" s="24">
        <v>15</v>
      </c>
      <c r="H11" s="24">
        <v>14</v>
      </c>
      <c r="I11" s="24" t="s">
        <v>71</v>
      </c>
      <c r="J11" s="24" t="s">
        <v>71</v>
      </c>
      <c r="K11" s="24" t="s">
        <v>71</v>
      </c>
      <c r="L11" s="24" t="s">
        <v>71</v>
      </c>
      <c r="M11" s="25">
        <f t="shared" si="4"/>
        <v>17.5</v>
      </c>
      <c r="N11" s="24" t="s">
        <v>71</v>
      </c>
      <c r="O11" s="24" t="s">
        <v>71</v>
      </c>
      <c r="P11" s="24" t="s">
        <v>71</v>
      </c>
      <c r="Q11" s="24" t="s">
        <v>71</v>
      </c>
      <c r="R11" s="24" t="s">
        <v>71</v>
      </c>
      <c r="S11" s="24" t="s">
        <v>71</v>
      </c>
      <c r="T11" s="24" t="s">
        <v>71</v>
      </c>
      <c r="U11" s="24" t="s">
        <v>71</v>
      </c>
      <c r="V11" s="24" t="s">
        <v>71</v>
      </c>
      <c r="W11" s="24" t="s">
        <v>71</v>
      </c>
      <c r="X11" s="24" t="s">
        <v>71</v>
      </c>
      <c r="Y11" s="24" t="s">
        <v>71</v>
      </c>
      <c r="Z11" s="24">
        <v>0.36</v>
      </c>
      <c r="AA11" s="24">
        <v>0.12</v>
      </c>
      <c r="AB11" t="s">
        <v>74</v>
      </c>
      <c r="AC11" s="28" t="s">
        <v>75</v>
      </c>
      <c r="AE11">
        <v>3</v>
      </c>
      <c r="AF11" t="s">
        <v>74</v>
      </c>
      <c r="AG11">
        <v>4</v>
      </c>
      <c r="AH11">
        <v>16</v>
      </c>
      <c r="AJ11">
        <v>6</v>
      </c>
      <c r="AK11" t="s">
        <v>321</v>
      </c>
      <c r="AO11">
        <v>27</v>
      </c>
      <c r="AP11">
        <v>6</v>
      </c>
      <c r="AQ11" t="s">
        <v>284</v>
      </c>
      <c r="AR11">
        <f t="shared" si="0"/>
        <v>2.32</v>
      </c>
      <c r="AS11">
        <f t="shared" si="2"/>
        <v>3.9</v>
      </c>
      <c r="AT11">
        <f t="shared" si="1"/>
        <v>0.19</v>
      </c>
      <c r="AU11">
        <f t="shared" si="3"/>
        <v>0.135</v>
      </c>
    </row>
    <row r="12" spans="1:47" ht="12.75">
      <c r="A12" s="22">
        <v>5</v>
      </c>
      <c r="B12" s="23">
        <v>1.5</v>
      </c>
      <c r="C12" s="24">
        <v>23</v>
      </c>
      <c r="D12" s="24">
        <v>19</v>
      </c>
      <c r="E12" s="24">
        <v>17</v>
      </c>
      <c r="F12" s="24">
        <v>16</v>
      </c>
      <c r="G12" s="24">
        <v>18</v>
      </c>
      <c r="H12" s="24">
        <v>15</v>
      </c>
      <c r="I12" s="24">
        <v>19</v>
      </c>
      <c r="J12" s="24">
        <v>33</v>
      </c>
      <c r="K12" s="24">
        <v>19</v>
      </c>
      <c r="L12" s="24">
        <v>27</v>
      </c>
      <c r="M12" s="25">
        <f t="shared" si="4"/>
        <v>11.67</v>
      </c>
      <c r="N12" s="24" t="s">
        <v>71</v>
      </c>
      <c r="O12" s="24" t="s">
        <v>71</v>
      </c>
      <c r="P12" s="24" t="s">
        <v>71</v>
      </c>
      <c r="Q12" s="24" t="s">
        <v>71</v>
      </c>
      <c r="R12" s="24" t="s">
        <v>71</v>
      </c>
      <c r="S12" s="24" t="s">
        <v>71</v>
      </c>
      <c r="T12" s="24" t="s">
        <v>71</v>
      </c>
      <c r="U12" s="24" t="s">
        <v>71</v>
      </c>
      <c r="V12" s="24" t="s">
        <v>71</v>
      </c>
      <c r="W12" s="24" t="s">
        <v>71</v>
      </c>
      <c r="X12" s="24" t="s">
        <v>71</v>
      </c>
      <c r="Y12" s="24" t="s">
        <v>71</v>
      </c>
      <c r="Z12" s="24">
        <v>0.35</v>
      </c>
      <c r="AA12" s="24">
        <v>0.11</v>
      </c>
      <c r="AB12" t="s">
        <v>76</v>
      </c>
      <c r="AE12">
        <v>4</v>
      </c>
      <c r="AF12" t="s">
        <v>76</v>
      </c>
      <c r="AG12">
        <v>5</v>
      </c>
      <c r="AH12">
        <v>17</v>
      </c>
      <c r="AJ12">
        <v>7</v>
      </c>
      <c r="AK12" t="s">
        <v>319</v>
      </c>
      <c r="AL12">
        <v>1</v>
      </c>
      <c r="AM12">
        <v>5.4</v>
      </c>
      <c r="AN12">
        <v>5.4</v>
      </c>
      <c r="AO12">
        <v>54</v>
      </c>
      <c r="AP12">
        <v>7</v>
      </c>
      <c r="AQ12" t="s">
        <v>285</v>
      </c>
      <c r="AR12">
        <f t="shared" si="0"/>
        <v>1.48</v>
      </c>
      <c r="AS12">
        <f t="shared" si="2"/>
        <v>2.5</v>
      </c>
      <c r="AT12">
        <f t="shared" si="1"/>
        <v>0.182</v>
      </c>
      <c r="AU12">
        <f t="shared" si="3"/>
        <v>0.1324</v>
      </c>
    </row>
    <row r="13" spans="1:47" ht="12.75">
      <c r="A13" s="22">
        <v>6</v>
      </c>
      <c r="B13" s="23">
        <v>2.5</v>
      </c>
      <c r="C13" s="24">
        <v>30</v>
      </c>
      <c r="D13" s="24">
        <v>27</v>
      </c>
      <c r="E13" s="24">
        <v>25</v>
      </c>
      <c r="F13" s="24">
        <v>25</v>
      </c>
      <c r="G13" s="24">
        <v>25</v>
      </c>
      <c r="H13" s="24">
        <v>21</v>
      </c>
      <c r="I13" s="24">
        <v>27</v>
      </c>
      <c r="J13" s="24">
        <v>44</v>
      </c>
      <c r="K13" s="24">
        <v>25</v>
      </c>
      <c r="L13" s="24">
        <v>38</v>
      </c>
      <c r="M13" s="25">
        <f t="shared" si="4"/>
        <v>7</v>
      </c>
      <c r="N13" s="23">
        <v>2.5</v>
      </c>
      <c r="O13" s="24">
        <v>24</v>
      </c>
      <c r="P13" s="24">
        <v>20</v>
      </c>
      <c r="Q13" s="24">
        <v>19</v>
      </c>
      <c r="R13" s="24">
        <v>19</v>
      </c>
      <c r="S13" s="24">
        <v>19</v>
      </c>
      <c r="T13" s="24">
        <v>16</v>
      </c>
      <c r="U13" s="24">
        <v>21</v>
      </c>
      <c r="V13" s="24">
        <v>34</v>
      </c>
      <c r="W13" s="24">
        <v>19</v>
      </c>
      <c r="X13" s="24">
        <v>29</v>
      </c>
      <c r="Y13" s="25">
        <f>1000*0.028/N13</f>
        <v>11.2</v>
      </c>
      <c r="Z13" s="25">
        <v>0.34</v>
      </c>
      <c r="AA13" s="25">
        <v>0.09</v>
      </c>
      <c r="AB13" t="s">
        <v>77</v>
      </c>
      <c r="AE13">
        <v>5</v>
      </c>
      <c r="AF13" t="s">
        <v>77</v>
      </c>
      <c r="AG13">
        <v>6</v>
      </c>
      <c r="AH13">
        <v>18</v>
      </c>
      <c r="AJ13">
        <v>8</v>
      </c>
      <c r="AK13" t="s">
        <v>322</v>
      </c>
      <c r="AO13">
        <v>16.5</v>
      </c>
      <c r="AP13">
        <v>8</v>
      </c>
      <c r="AQ13" t="s">
        <v>286</v>
      </c>
      <c r="AR13">
        <f t="shared" si="0"/>
        <v>1.06</v>
      </c>
      <c r="AS13">
        <f t="shared" si="2"/>
        <v>1.788</v>
      </c>
      <c r="AT13">
        <f t="shared" si="1"/>
        <v>0.176</v>
      </c>
      <c r="AU13">
        <f t="shared" si="3"/>
        <v>0.1274</v>
      </c>
    </row>
    <row r="14" spans="1:47" ht="12.75">
      <c r="A14" s="22">
        <v>7</v>
      </c>
      <c r="B14" s="23">
        <v>4</v>
      </c>
      <c r="C14" s="24">
        <v>41</v>
      </c>
      <c r="D14" s="24">
        <v>38</v>
      </c>
      <c r="E14" s="24">
        <v>35</v>
      </c>
      <c r="F14" s="24">
        <v>30</v>
      </c>
      <c r="G14" s="24">
        <v>32</v>
      </c>
      <c r="H14" s="24">
        <v>27</v>
      </c>
      <c r="I14" s="24">
        <v>38</v>
      </c>
      <c r="J14" s="24">
        <v>55</v>
      </c>
      <c r="K14" s="24">
        <v>35</v>
      </c>
      <c r="L14" s="24">
        <v>49</v>
      </c>
      <c r="M14" s="25">
        <f t="shared" si="4"/>
        <v>4.38</v>
      </c>
      <c r="N14" s="23">
        <v>4</v>
      </c>
      <c r="O14" s="24">
        <v>32</v>
      </c>
      <c r="P14" s="24">
        <v>28</v>
      </c>
      <c r="Q14" s="24">
        <v>28</v>
      </c>
      <c r="R14" s="24">
        <v>23</v>
      </c>
      <c r="S14" s="24">
        <v>25</v>
      </c>
      <c r="T14" s="24">
        <v>21</v>
      </c>
      <c r="U14" s="24">
        <v>29</v>
      </c>
      <c r="V14" s="24">
        <v>42</v>
      </c>
      <c r="W14" s="24">
        <v>27</v>
      </c>
      <c r="X14" s="24">
        <v>38</v>
      </c>
      <c r="Y14" s="25">
        <f aca="true" t="shared" si="5" ref="Y14:Y26">1000*0.028/N14</f>
        <v>7</v>
      </c>
      <c r="Z14" s="25">
        <v>0.33</v>
      </c>
      <c r="AA14" s="25">
        <v>0.1</v>
      </c>
      <c r="AB14" t="s">
        <v>78</v>
      </c>
      <c r="AE14">
        <v>6</v>
      </c>
      <c r="AF14" t="s">
        <v>78</v>
      </c>
      <c r="AG14">
        <v>7</v>
      </c>
      <c r="AH14">
        <v>19</v>
      </c>
      <c r="AP14">
        <v>9</v>
      </c>
      <c r="AQ14" t="s">
        <v>287</v>
      </c>
      <c r="AR14">
        <f>AR37*2</f>
        <v>0.74</v>
      </c>
      <c r="AS14">
        <f>AS37*2</f>
        <v>1.25</v>
      </c>
      <c r="AT14">
        <f>AT37*2</f>
        <v>0.17</v>
      </c>
      <c r="AU14">
        <f>AU37*2</f>
        <v>0.125</v>
      </c>
    </row>
    <row r="15" spans="1:47" ht="12.75">
      <c r="A15" s="22">
        <v>8</v>
      </c>
      <c r="B15" s="23">
        <v>6</v>
      </c>
      <c r="C15" s="24">
        <v>50</v>
      </c>
      <c r="D15" s="24">
        <v>46</v>
      </c>
      <c r="E15" s="24">
        <v>42</v>
      </c>
      <c r="F15" s="24">
        <v>40</v>
      </c>
      <c r="G15" s="24">
        <v>40</v>
      </c>
      <c r="H15" s="24">
        <v>34</v>
      </c>
      <c r="I15" s="24">
        <v>50</v>
      </c>
      <c r="J15" s="24">
        <v>70</v>
      </c>
      <c r="K15" s="24">
        <v>42</v>
      </c>
      <c r="L15" s="24">
        <v>60</v>
      </c>
      <c r="M15" s="25">
        <f t="shared" si="4"/>
        <v>2.92</v>
      </c>
      <c r="N15" s="23">
        <v>6</v>
      </c>
      <c r="O15" s="24">
        <v>39</v>
      </c>
      <c r="P15" s="24">
        <v>36</v>
      </c>
      <c r="Q15" s="24">
        <v>32</v>
      </c>
      <c r="R15" s="24">
        <v>30</v>
      </c>
      <c r="S15" s="24">
        <v>31</v>
      </c>
      <c r="T15" s="24">
        <v>26</v>
      </c>
      <c r="U15" s="24">
        <v>38</v>
      </c>
      <c r="V15" s="24">
        <v>55</v>
      </c>
      <c r="W15" s="24">
        <v>32</v>
      </c>
      <c r="X15" s="24">
        <v>46</v>
      </c>
      <c r="Y15" s="25">
        <f t="shared" si="5"/>
        <v>4.67</v>
      </c>
      <c r="Z15" s="25">
        <v>0.32</v>
      </c>
      <c r="AA15" s="25">
        <v>0.09</v>
      </c>
      <c r="AB15" t="s">
        <v>79</v>
      </c>
      <c r="AE15">
        <v>7</v>
      </c>
      <c r="AF15" t="s">
        <v>79</v>
      </c>
      <c r="AG15">
        <v>8</v>
      </c>
      <c r="AH15">
        <v>20</v>
      </c>
      <c r="AP15">
        <v>10</v>
      </c>
      <c r="AQ15" t="s">
        <v>288</v>
      </c>
      <c r="AR15">
        <f>(AR37+AR34)</f>
        <v>1.11</v>
      </c>
      <c r="AS15">
        <f>(AS37+AS34)</f>
        <v>1.875</v>
      </c>
      <c r="AT15">
        <f>(AT37+AT34)</f>
        <v>0.176</v>
      </c>
      <c r="AU15">
        <f>(AU37+AU34)</f>
        <v>0.1287</v>
      </c>
    </row>
    <row r="16" spans="1:47" ht="12.75">
      <c r="A16" s="22">
        <v>9</v>
      </c>
      <c r="B16" s="23">
        <v>10</v>
      </c>
      <c r="C16" s="24">
        <v>80</v>
      </c>
      <c r="D16" s="24">
        <v>70</v>
      </c>
      <c r="E16" s="24">
        <v>60</v>
      </c>
      <c r="F16" s="24">
        <v>50</v>
      </c>
      <c r="G16" s="24">
        <v>55</v>
      </c>
      <c r="H16" s="24">
        <v>50</v>
      </c>
      <c r="I16" s="24">
        <v>70</v>
      </c>
      <c r="J16" s="24">
        <v>105</v>
      </c>
      <c r="K16" s="24">
        <v>55</v>
      </c>
      <c r="L16" s="24">
        <v>90</v>
      </c>
      <c r="M16" s="25">
        <f t="shared" si="4"/>
        <v>1.75</v>
      </c>
      <c r="N16" s="23">
        <v>10</v>
      </c>
      <c r="O16" s="24">
        <v>60</v>
      </c>
      <c r="P16" s="24">
        <v>50</v>
      </c>
      <c r="Q16" s="24">
        <v>47</v>
      </c>
      <c r="R16" s="24">
        <v>39</v>
      </c>
      <c r="S16" s="24">
        <v>42</v>
      </c>
      <c r="T16" s="24">
        <v>38</v>
      </c>
      <c r="U16" s="24">
        <v>55</v>
      </c>
      <c r="V16" s="24">
        <v>80</v>
      </c>
      <c r="W16" s="24">
        <v>42</v>
      </c>
      <c r="X16" s="24">
        <v>70</v>
      </c>
      <c r="Y16" s="25">
        <f t="shared" si="5"/>
        <v>2.8</v>
      </c>
      <c r="Z16" s="25">
        <v>0.31</v>
      </c>
      <c r="AA16" s="25">
        <v>0.07</v>
      </c>
      <c r="AB16" t="s">
        <v>80</v>
      </c>
      <c r="AE16">
        <v>8</v>
      </c>
      <c r="AF16" t="s">
        <v>80</v>
      </c>
      <c r="AG16">
        <v>9</v>
      </c>
      <c r="AH16">
        <v>21</v>
      </c>
      <c r="AP16">
        <v>11</v>
      </c>
      <c r="AQ16" t="s">
        <v>289</v>
      </c>
      <c r="AR16">
        <f>AR39*2</f>
        <v>0.53</v>
      </c>
      <c r="AS16">
        <f>AS39*2</f>
        <v>0.894</v>
      </c>
      <c r="AT16">
        <f>AT39*2</f>
        <v>0.164</v>
      </c>
      <c r="AU16">
        <f>AU39*2</f>
        <v>0.1224</v>
      </c>
    </row>
    <row r="17" spans="1:47" ht="12.75">
      <c r="A17" s="22">
        <v>10</v>
      </c>
      <c r="B17" s="23">
        <v>16</v>
      </c>
      <c r="C17" s="24">
        <v>100</v>
      </c>
      <c r="D17" s="24">
        <v>85</v>
      </c>
      <c r="E17" s="24">
        <v>80</v>
      </c>
      <c r="F17" s="24">
        <v>75</v>
      </c>
      <c r="G17" s="24">
        <v>80</v>
      </c>
      <c r="H17" s="24">
        <v>70</v>
      </c>
      <c r="I17" s="24">
        <v>90</v>
      </c>
      <c r="J17" s="24">
        <v>135</v>
      </c>
      <c r="K17" s="24">
        <v>75</v>
      </c>
      <c r="L17" s="24">
        <v>115</v>
      </c>
      <c r="M17" s="25">
        <f t="shared" si="4"/>
        <v>1.09</v>
      </c>
      <c r="N17" s="23">
        <v>16</v>
      </c>
      <c r="O17" s="24">
        <v>75</v>
      </c>
      <c r="P17" s="24">
        <v>60</v>
      </c>
      <c r="Q17" s="24">
        <v>60</v>
      </c>
      <c r="R17" s="24">
        <v>55</v>
      </c>
      <c r="S17" s="24">
        <v>60</v>
      </c>
      <c r="T17" s="24">
        <v>55</v>
      </c>
      <c r="U17" s="24">
        <v>70</v>
      </c>
      <c r="V17" s="24">
        <v>105</v>
      </c>
      <c r="W17" s="24">
        <v>60</v>
      </c>
      <c r="X17" s="24">
        <v>90</v>
      </c>
      <c r="Y17" s="25">
        <f t="shared" si="5"/>
        <v>1.75</v>
      </c>
      <c r="Z17" s="25">
        <v>0.29</v>
      </c>
      <c r="AA17" s="25">
        <v>0.07</v>
      </c>
      <c r="AB17" t="s">
        <v>81</v>
      </c>
      <c r="AE17">
        <v>9</v>
      </c>
      <c r="AF17" t="s">
        <v>81</v>
      </c>
      <c r="AG17">
        <v>10</v>
      </c>
      <c r="AH17">
        <v>22</v>
      </c>
      <c r="AP17">
        <v>12</v>
      </c>
      <c r="AQ17" t="s">
        <v>290</v>
      </c>
      <c r="AR17">
        <f>(AR39+AR35)</f>
        <v>0.795</v>
      </c>
      <c r="AS17">
        <f>(AS39+AS35)</f>
        <v>1.341</v>
      </c>
      <c r="AT17">
        <f>(AT39+AT35)</f>
        <v>0.17</v>
      </c>
      <c r="AU17">
        <f>(AU39+AU35)</f>
        <v>0.1249</v>
      </c>
    </row>
    <row r="18" spans="1:47" ht="12.75">
      <c r="A18" s="22">
        <v>11</v>
      </c>
      <c r="B18" s="23">
        <v>25</v>
      </c>
      <c r="C18" s="24">
        <v>140</v>
      </c>
      <c r="D18" s="24">
        <v>115</v>
      </c>
      <c r="E18" s="24">
        <v>100</v>
      </c>
      <c r="F18" s="24">
        <v>90</v>
      </c>
      <c r="G18" s="24">
        <v>100</v>
      </c>
      <c r="H18" s="24">
        <v>85</v>
      </c>
      <c r="I18" s="24">
        <v>115</v>
      </c>
      <c r="J18" s="24">
        <v>175</v>
      </c>
      <c r="K18" s="24">
        <v>95</v>
      </c>
      <c r="L18" s="24">
        <v>150</v>
      </c>
      <c r="M18" s="25">
        <f t="shared" si="4"/>
        <v>0.7</v>
      </c>
      <c r="N18" s="23">
        <v>25</v>
      </c>
      <c r="O18" s="24">
        <v>105</v>
      </c>
      <c r="P18" s="24">
        <v>85</v>
      </c>
      <c r="Q18" s="24">
        <v>80</v>
      </c>
      <c r="R18" s="24">
        <v>70</v>
      </c>
      <c r="S18" s="24">
        <v>75</v>
      </c>
      <c r="T18" s="24">
        <v>65</v>
      </c>
      <c r="U18" s="24">
        <v>90</v>
      </c>
      <c r="V18" s="24">
        <v>135</v>
      </c>
      <c r="W18" s="24">
        <v>75</v>
      </c>
      <c r="X18" s="24">
        <v>115</v>
      </c>
      <c r="Y18" s="25">
        <f t="shared" si="5"/>
        <v>1.12</v>
      </c>
      <c r="Z18" s="25">
        <v>0.27</v>
      </c>
      <c r="AA18" s="25">
        <v>0.07</v>
      </c>
      <c r="AB18" t="s">
        <v>82</v>
      </c>
      <c r="AE18">
        <v>10</v>
      </c>
      <c r="AF18" t="s">
        <v>82</v>
      </c>
      <c r="AG18">
        <v>11</v>
      </c>
      <c r="AH18">
        <v>23</v>
      </c>
      <c r="AP18">
        <v>13</v>
      </c>
      <c r="AQ18" t="s">
        <v>291</v>
      </c>
      <c r="AR18">
        <f>AR41*2</f>
        <v>0.39</v>
      </c>
      <c r="AS18">
        <f>AS41*2</f>
        <v>0.658</v>
      </c>
      <c r="AT18">
        <f>AT41*2</f>
        <v>0.162</v>
      </c>
      <c r="AU18">
        <f>AU41*2</f>
        <v>0.1204</v>
      </c>
    </row>
    <row r="19" spans="1:47" ht="12.75" customHeight="1">
      <c r="A19" s="22">
        <v>12</v>
      </c>
      <c r="B19" s="23">
        <v>35</v>
      </c>
      <c r="C19" s="24">
        <v>170</v>
      </c>
      <c r="D19" s="24">
        <v>135</v>
      </c>
      <c r="E19" s="24">
        <v>125</v>
      </c>
      <c r="F19" s="24">
        <v>115</v>
      </c>
      <c r="G19" s="24">
        <v>125</v>
      </c>
      <c r="H19" s="24">
        <v>100</v>
      </c>
      <c r="I19" s="24">
        <v>140</v>
      </c>
      <c r="J19" s="24">
        <v>210</v>
      </c>
      <c r="K19" s="24">
        <v>120</v>
      </c>
      <c r="L19" s="24">
        <v>180</v>
      </c>
      <c r="M19" s="25">
        <f t="shared" si="4"/>
        <v>0.5</v>
      </c>
      <c r="N19" s="23">
        <v>35</v>
      </c>
      <c r="O19" s="24">
        <v>130</v>
      </c>
      <c r="P19" s="24">
        <v>100</v>
      </c>
      <c r="Q19" s="24">
        <v>95</v>
      </c>
      <c r="R19" s="24">
        <v>85</v>
      </c>
      <c r="S19" s="24">
        <v>95</v>
      </c>
      <c r="T19" s="24">
        <v>75</v>
      </c>
      <c r="U19" s="24">
        <v>105</v>
      </c>
      <c r="V19" s="24">
        <v>160</v>
      </c>
      <c r="W19" s="24">
        <v>90</v>
      </c>
      <c r="X19" s="24">
        <v>140</v>
      </c>
      <c r="Y19" s="25">
        <f t="shared" si="5"/>
        <v>0.8</v>
      </c>
      <c r="Z19" s="25">
        <v>0.26</v>
      </c>
      <c r="AA19" s="25">
        <v>0.06</v>
      </c>
      <c r="AB19" t="s">
        <v>83</v>
      </c>
      <c r="AE19">
        <v>11</v>
      </c>
      <c r="AF19" t="s">
        <v>83</v>
      </c>
      <c r="AG19">
        <v>12</v>
      </c>
      <c r="AH19">
        <v>24</v>
      </c>
      <c r="AP19">
        <v>14</v>
      </c>
      <c r="AQ19" t="s">
        <v>292</v>
      </c>
      <c r="AR19">
        <f>(AR41+AR37)</f>
        <v>0.565</v>
      </c>
      <c r="AS19">
        <f>(AS41+AS37)</f>
        <v>0.954</v>
      </c>
      <c r="AT19">
        <f>(AT41+AT37)</f>
        <v>0.166</v>
      </c>
      <c r="AU19">
        <f>(AU41+AU37)</f>
        <v>0.1227</v>
      </c>
    </row>
    <row r="20" spans="1:47" ht="12.75">
      <c r="A20" s="22">
        <v>13</v>
      </c>
      <c r="B20" s="23">
        <v>50</v>
      </c>
      <c r="C20" s="24">
        <v>215</v>
      </c>
      <c r="D20" s="24">
        <v>185</v>
      </c>
      <c r="E20" s="24">
        <v>170</v>
      </c>
      <c r="F20" s="24">
        <v>150</v>
      </c>
      <c r="G20" s="24">
        <v>160</v>
      </c>
      <c r="H20" s="24">
        <v>135</v>
      </c>
      <c r="I20" s="24">
        <v>175</v>
      </c>
      <c r="J20" s="24">
        <v>265</v>
      </c>
      <c r="K20" s="24">
        <v>145</v>
      </c>
      <c r="L20" s="24">
        <v>225</v>
      </c>
      <c r="M20" s="25">
        <f t="shared" si="4"/>
        <v>0.35</v>
      </c>
      <c r="N20" s="23">
        <v>50</v>
      </c>
      <c r="O20" s="24">
        <v>165</v>
      </c>
      <c r="P20" s="24">
        <v>140</v>
      </c>
      <c r="Q20" s="24">
        <v>130</v>
      </c>
      <c r="R20" s="24">
        <v>120</v>
      </c>
      <c r="S20" s="24">
        <v>125</v>
      </c>
      <c r="T20" s="24">
        <v>105</v>
      </c>
      <c r="U20" s="24">
        <v>135</v>
      </c>
      <c r="V20" s="24">
        <v>205</v>
      </c>
      <c r="W20" s="24">
        <v>110</v>
      </c>
      <c r="X20" s="24">
        <v>175</v>
      </c>
      <c r="Y20" s="25">
        <f t="shared" si="5"/>
        <v>0.56</v>
      </c>
      <c r="Z20" s="25">
        <v>0.25</v>
      </c>
      <c r="AA20" s="25">
        <v>0.06</v>
      </c>
      <c r="AP20">
        <v>15</v>
      </c>
      <c r="AQ20" t="s">
        <v>301</v>
      </c>
      <c r="AR20">
        <f>AR43*2</f>
        <v>0.308</v>
      </c>
      <c r="AS20">
        <f>AS43*2</f>
        <v>0.522</v>
      </c>
      <c r="AT20">
        <f>AT43*2</f>
        <v>0.16</v>
      </c>
      <c r="AU20">
        <f>AU43*2</f>
        <v>0.1204</v>
      </c>
    </row>
    <row r="21" spans="1:47" ht="12.75" customHeight="1">
      <c r="A21" s="22">
        <v>14</v>
      </c>
      <c r="B21" s="23">
        <v>70</v>
      </c>
      <c r="C21" s="24">
        <v>270</v>
      </c>
      <c r="D21" s="24">
        <v>225</v>
      </c>
      <c r="E21" s="24">
        <v>210</v>
      </c>
      <c r="F21" s="24">
        <v>185</v>
      </c>
      <c r="G21" s="24">
        <v>195</v>
      </c>
      <c r="H21" s="24">
        <v>175</v>
      </c>
      <c r="I21" s="24">
        <v>215</v>
      </c>
      <c r="J21" s="24">
        <v>320</v>
      </c>
      <c r="K21" s="24">
        <v>180</v>
      </c>
      <c r="L21" s="24">
        <v>275</v>
      </c>
      <c r="M21" s="25">
        <f t="shared" si="4"/>
        <v>0.25</v>
      </c>
      <c r="N21" s="23">
        <v>70</v>
      </c>
      <c r="O21" s="24">
        <v>210</v>
      </c>
      <c r="P21" s="24">
        <v>175</v>
      </c>
      <c r="Q21" s="24">
        <v>165</v>
      </c>
      <c r="R21" s="24">
        <v>140</v>
      </c>
      <c r="S21" s="24">
        <v>150</v>
      </c>
      <c r="T21" s="24">
        <v>135</v>
      </c>
      <c r="U21" s="24">
        <v>165</v>
      </c>
      <c r="V21" s="24">
        <v>245</v>
      </c>
      <c r="W21" s="24">
        <v>140</v>
      </c>
      <c r="X21" s="24">
        <v>210</v>
      </c>
      <c r="Y21" s="25">
        <f t="shared" si="5"/>
        <v>0.4</v>
      </c>
      <c r="Z21" s="25">
        <v>0.24</v>
      </c>
      <c r="AA21" s="25">
        <v>0.06</v>
      </c>
      <c r="AB21" t="b">
        <v>1</v>
      </c>
      <c r="AC21" s="29" t="b">
        <v>0</v>
      </c>
      <c r="AD21" s="30" t="s">
        <v>75</v>
      </c>
      <c r="AP21">
        <v>16</v>
      </c>
      <c r="AQ21" t="s">
        <v>300</v>
      </c>
      <c r="AR21">
        <f>(AR43+AR39)</f>
        <v>0.419</v>
      </c>
      <c r="AS21">
        <f>(AS43+AS39)</f>
        <v>0.708</v>
      </c>
      <c r="AT21">
        <f>(AT43+AT39)</f>
        <v>0.162</v>
      </c>
      <c r="AU21">
        <f>(AU43+AU39)</f>
        <v>0.1214</v>
      </c>
    </row>
    <row r="22" spans="1:47" ht="12.75">
      <c r="A22" s="22">
        <v>15</v>
      </c>
      <c r="B22" s="23">
        <v>95</v>
      </c>
      <c r="C22" s="24">
        <v>330</v>
      </c>
      <c r="D22" s="24">
        <v>275</v>
      </c>
      <c r="E22" s="24">
        <v>255</v>
      </c>
      <c r="F22" s="24">
        <v>225</v>
      </c>
      <c r="G22" s="24">
        <v>245</v>
      </c>
      <c r="H22" s="24">
        <v>215</v>
      </c>
      <c r="I22" s="24">
        <v>260</v>
      </c>
      <c r="J22" s="24">
        <v>385</v>
      </c>
      <c r="K22" s="24">
        <v>220</v>
      </c>
      <c r="L22" s="24">
        <v>330</v>
      </c>
      <c r="M22" s="25">
        <f t="shared" si="4"/>
        <v>0.18</v>
      </c>
      <c r="N22" s="23">
        <v>95</v>
      </c>
      <c r="O22" s="24">
        <v>255</v>
      </c>
      <c r="P22" s="24">
        <v>215</v>
      </c>
      <c r="Q22" s="24">
        <v>200</v>
      </c>
      <c r="R22" s="24">
        <v>175</v>
      </c>
      <c r="S22" s="24">
        <v>190</v>
      </c>
      <c r="T22" s="24">
        <v>165</v>
      </c>
      <c r="U22" s="24">
        <v>200</v>
      </c>
      <c r="V22" s="24">
        <v>295</v>
      </c>
      <c r="W22" s="24">
        <v>170</v>
      </c>
      <c r="X22" s="24">
        <v>255</v>
      </c>
      <c r="Y22" s="25">
        <f t="shared" si="5"/>
        <v>0.29</v>
      </c>
      <c r="Z22" s="25">
        <v>0.23</v>
      </c>
      <c r="AA22" s="25">
        <v>0.06</v>
      </c>
      <c r="AB22" t="b">
        <v>1</v>
      </c>
      <c r="AC22" s="29" t="b">
        <v>1</v>
      </c>
      <c r="AD22" s="30" t="s">
        <v>73</v>
      </c>
      <c r="AP22">
        <v>17</v>
      </c>
      <c r="AQ22" t="s">
        <v>299</v>
      </c>
      <c r="AR22">
        <f>AR45*2</f>
        <v>0.248</v>
      </c>
      <c r="AS22">
        <f>AS45*2</f>
        <v>0.416</v>
      </c>
      <c r="AT22">
        <f>AT45*2</f>
        <v>0.158</v>
      </c>
      <c r="AU22">
        <f>AU45*2</f>
        <v>0.1192</v>
      </c>
    </row>
    <row r="23" spans="1:47" ht="12.75">
      <c r="A23" s="22">
        <v>16</v>
      </c>
      <c r="B23" s="23">
        <v>120</v>
      </c>
      <c r="C23" s="24">
        <v>385</v>
      </c>
      <c r="D23" s="24">
        <v>315</v>
      </c>
      <c r="E23" s="24">
        <v>290</v>
      </c>
      <c r="F23" s="24">
        <v>260</v>
      </c>
      <c r="G23" s="24">
        <v>295</v>
      </c>
      <c r="H23" s="24">
        <v>250</v>
      </c>
      <c r="I23" s="24">
        <v>300</v>
      </c>
      <c r="J23" s="24">
        <v>445</v>
      </c>
      <c r="K23" s="24">
        <v>260</v>
      </c>
      <c r="L23" s="24">
        <v>385</v>
      </c>
      <c r="M23" s="25">
        <f t="shared" si="4"/>
        <v>0.15</v>
      </c>
      <c r="N23" s="23">
        <v>120</v>
      </c>
      <c r="O23" s="24">
        <v>295</v>
      </c>
      <c r="P23" s="24">
        <v>245</v>
      </c>
      <c r="Q23" s="24">
        <v>220</v>
      </c>
      <c r="R23" s="24">
        <v>200</v>
      </c>
      <c r="S23" s="24">
        <v>230</v>
      </c>
      <c r="T23" s="24">
        <v>190</v>
      </c>
      <c r="U23" s="24">
        <v>230</v>
      </c>
      <c r="V23" s="24">
        <v>340</v>
      </c>
      <c r="W23" s="24">
        <v>200</v>
      </c>
      <c r="X23" s="24">
        <v>295</v>
      </c>
      <c r="Y23" s="25">
        <f t="shared" si="5"/>
        <v>0.23</v>
      </c>
      <c r="Z23" s="25">
        <v>0.22</v>
      </c>
      <c r="AA23" s="25">
        <v>0.06</v>
      </c>
      <c r="AB23" t="b">
        <v>0</v>
      </c>
      <c r="AP23">
        <v>18</v>
      </c>
      <c r="AQ23" t="s">
        <v>302</v>
      </c>
      <c r="AR23">
        <f>(AR45+AR39)</f>
        <v>0.389</v>
      </c>
      <c r="AS23">
        <f>(AS45+AS39)</f>
        <v>0.655</v>
      </c>
      <c r="AT23">
        <f>(AT45+AT39)</f>
        <v>0.161</v>
      </c>
      <c r="AU23">
        <f>(AU45+AU39)</f>
        <v>0.1208</v>
      </c>
    </row>
    <row r="24" spans="1:47" ht="12.75">
      <c r="A24" s="22">
        <v>17</v>
      </c>
      <c r="B24" s="23">
        <v>150</v>
      </c>
      <c r="C24" s="24">
        <v>440</v>
      </c>
      <c r="D24" s="24">
        <v>360</v>
      </c>
      <c r="E24" s="24">
        <v>330</v>
      </c>
      <c r="F24" s="24" t="s">
        <v>71</v>
      </c>
      <c r="G24" s="24" t="s">
        <v>71</v>
      </c>
      <c r="H24" s="24" t="s">
        <v>71</v>
      </c>
      <c r="I24" s="24">
        <v>350</v>
      </c>
      <c r="J24" s="24">
        <v>505</v>
      </c>
      <c r="K24" s="24">
        <v>305</v>
      </c>
      <c r="L24" s="24">
        <v>435</v>
      </c>
      <c r="M24" s="25">
        <f t="shared" si="4"/>
        <v>0.12</v>
      </c>
      <c r="N24" s="23">
        <v>150</v>
      </c>
      <c r="O24" s="24">
        <v>340</v>
      </c>
      <c r="P24" s="24">
        <v>275</v>
      </c>
      <c r="Q24" s="24">
        <v>255</v>
      </c>
      <c r="R24" s="24" t="s">
        <v>71</v>
      </c>
      <c r="S24" s="24" t="s">
        <v>71</v>
      </c>
      <c r="T24" s="24" t="s">
        <v>71</v>
      </c>
      <c r="U24" s="24">
        <v>270</v>
      </c>
      <c r="V24" s="24">
        <v>390</v>
      </c>
      <c r="W24" s="24">
        <v>235</v>
      </c>
      <c r="X24" s="24">
        <v>335</v>
      </c>
      <c r="Y24" s="25">
        <f t="shared" si="5"/>
        <v>0.19</v>
      </c>
      <c r="Z24" s="25">
        <v>0.21</v>
      </c>
      <c r="AA24" s="25">
        <v>0.06</v>
      </c>
      <c r="AB24" t="b">
        <v>0</v>
      </c>
      <c r="AP24">
        <v>19</v>
      </c>
      <c r="AQ24" t="s">
        <v>295</v>
      </c>
      <c r="AR24">
        <f>AR47*2</f>
        <v>0.2</v>
      </c>
      <c r="AS24">
        <f>AS47*2</f>
        <v>0.338</v>
      </c>
      <c r="AT24">
        <f>AT47*2</f>
        <v>0.156</v>
      </c>
      <c r="AU24">
        <f>AU47*2</f>
        <v>0.1192</v>
      </c>
    </row>
    <row r="25" spans="1:47" ht="12.75">
      <c r="A25" s="22">
        <v>18</v>
      </c>
      <c r="B25" s="23">
        <v>185</v>
      </c>
      <c r="C25" s="24">
        <v>510</v>
      </c>
      <c r="D25" s="24" t="s">
        <v>71</v>
      </c>
      <c r="E25" s="24" t="s">
        <v>71</v>
      </c>
      <c r="F25" s="24" t="s">
        <v>71</v>
      </c>
      <c r="G25" s="24" t="s">
        <v>71</v>
      </c>
      <c r="H25" s="24" t="s">
        <v>71</v>
      </c>
      <c r="I25" s="24">
        <v>405</v>
      </c>
      <c r="J25" s="24">
        <v>570</v>
      </c>
      <c r="K25" s="24">
        <v>350</v>
      </c>
      <c r="L25" s="24">
        <v>500</v>
      </c>
      <c r="M25" s="25">
        <f t="shared" si="4"/>
        <v>0.09</v>
      </c>
      <c r="N25" s="23">
        <v>185</v>
      </c>
      <c r="O25" s="24">
        <v>390</v>
      </c>
      <c r="P25" s="24" t="s">
        <v>71</v>
      </c>
      <c r="Q25" s="24" t="s">
        <v>71</v>
      </c>
      <c r="R25" s="24" t="s">
        <v>71</v>
      </c>
      <c r="S25" s="24" t="s">
        <v>71</v>
      </c>
      <c r="T25" s="24" t="s">
        <v>71</v>
      </c>
      <c r="U25" s="24">
        <v>310</v>
      </c>
      <c r="V25" s="24">
        <v>440</v>
      </c>
      <c r="W25" s="24">
        <v>270</v>
      </c>
      <c r="X25" s="24">
        <v>385</v>
      </c>
      <c r="Y25" s="25">
        <f t="shared" si="5"/>
        <v>0.15</v>
      </c>
      <c r="Z25" s="25">
        <v>0.21</v>
      </c>
      <c r="AA25" s="25">
        <v>0.06</v>
      </c>
      <c r="AB25" t="b">
        <v>0</v>
      </c>
      <c r="AP25">
        <v>20</v>
      </c>
      <c r="AQ25" t="s">
        <v>296</v>
      </c>
      <c r="AR25">
        <f>(AR47+AR41)</f>
        <v>0.295</v>
      </c>
      <c r="AS25">
        <f>(AS47+AS41)</f>
        <v>0.498</v>
      </c>
      <c r="AT25">
        <f>(AT47+AT41)</f>
        <v>0.159</v>
      </c>
      <c r="AU25">
        <f>(AU47+AU41)</f>
        <v>0.1198</v>
      </c>
    </row>
    <row r="26" spans="1:47" ht="12.75">
      <c r="A26" s="22">
        <v>19</v>
      </c>
      <c r="B26" s="23">
        <v>240</v>
      </c>
      <c r="C26" s="24">
        <v>605</v>
      </c>
      <c r="D26" s="24" t="s">
        <v>71</v>
      </c>
      <c r="E26" s="24" t="s">
        <v>71</v>
      </c>
      <c r="F26" s="24" t="s">
        <v>71</v>
      </c>
      <c r="G26" s="24" t="s">
        <v>71</v>
      </c>
      <c r="H26" s="24" t="s">
        <v>71</v>
      </c>
      <c r="I26" s="24" t="s">
        <v>71</v>
      </c>
      <c r="J26" s="24" t="s">
        <v>71</v>
      </c>
      <c r="K26" s="24" t="s">
        <v>71</v>
      </c>
      <c r="L26" s="24" t="s">
        <v>71</v>
      </c>
      <c r="M26" s="25">
        <f t="shared" si="4"/>
        <v>0.07</v>
      </c>
      <c r="N26" s="23">
        <v>240</v>
      </c>
      <c r="O26" s="24">
        <v>465</v>
      </c>
      <c r="P26" s="24" t="s">
        <v>71</v>
      </c>
      <c r="Q26" s="24" t="s">
        <v>71</v>
      </c>
      <c r="R26" s="24" t="s">
        <v>71</v>
      </c>
      <c r="S26" s="24" t="s">
        <v>71</v>
      </c>
      <c r="T26" s="24" t="s">
        <v>71</v>
      </c>
      <c r="U26" s="24" t="s">
        <v>71</v>
      </c>
      <c r="V26" s="24" t="s">
        <v>71</v>
      </c>
      <c r="W26" s="24" t="s">
        <v>71</v>
      </c>
      <c r="X26" s="24" t="s">
        <v>71</v>
      </c>
      <c r="Y26" s="25">
        <f t="shared" si="5"/>
        <v>0.12</v>
      </c>
      <c r="Z26" s="25">
        <v>0.2</v>
      </c>
      <c r="AA26" s="25">
        <v>0.06</v>
      </c>
      <c r="AP26">
        <v>21</v>
      </c>
      <c r="AQ26" t="s">
        <v>305</v>
      </c>
      <c r="AR26">
        <f>AR48*2</f>
        <v>0.1</v>
      </c>
      <c r="AS26">
        <f>AS46*4</f>
        <v>0.676</v>
      </c>
      <c r="AT26">
        <f>AT46*4</f>
        <v>0.312</v>
      </c>
      <c r="AU26">
        <f>AU46*4</f>
        <v>0.2384</v>
      </c>
    </row>
    <row r="27" spans="1:47" ht="12.75">
      <c r="A27" s="22">
        <v>20</v>
      </c>
      <c r="B27" s="23">
        <v>300</v>
      </c>
      <c r="C27" s="24">
        <v>695</v>
      </c>
      <c r="D27" s="24" t="s">
        <v>71</v>
      </c>
      <c r="E27" s="24" t="s">
        <v>71</v>
      </c>
      <c r="F27" s="24" t="s">
        <v>71</v>
      </c>
      <c r="G27" s="24" t="s">
        <v>71</v>
      </c>
      <c r="H27" s="24" t="s">
        <v>71</v>
      </c>
      <c r="I27" s="24"/>
      <c r="J27" s="24"/>
      <c r="K27" s="24"/>
      <c r="L27" s="24"/>
      <c r="M27" s="25">
        <f t="shared" si="4"/>
        <v>0.06</v>
      </c>
      <c r="N27" s="23">
        <v>300</v>
      </c>
      <c r="O27" s="24">
        <v>535</v>
      </c>
      <c r="P27" s="24" t="s">
        <v>71</v>
      </c>
      <c r="Q27" s="24" t="s">
        <v>71</v>
      </c>
      <c r="R27" s="24" t="s">
        <v>71</v>
      </c>
      <c r="S27" s="24" t="s">
        <v>71</v>
      </c>
      <c r="T27" s="24" t="s">
        <v>71</v>
      </c>
      <c r="U27" s="24" t="s">
        <v>71</v>
      </c>
      <c r="V27" s="24" t="s">
        <v>71</v>
      </c>
      <c r="W27" s="24" t="s">
        <v>71</v>
      </c>
      <c r="X27" s="24" t="s">
        <v>71</v>
      </c>
      <c r="Y27" s="24" t="s">
        <v>71</v>
      </c>
      <c r="Z27" s="24">
        <v>0.19</v>
      </c>
      <c r="AA27" s="25">
        <v>0.06</v>
      </c>
      <c r="AP27">
        <v>22</v>
      </c>
      <c r="AQ27" t="s">
        <v>304</v>
      </c>
      <c r="AR27">
        <f>AR49+AR47</f>
        <v>0.15</v>
      </c>
      <c r="AS27">
        <f>AS49+AS47</f>
        <v>0.2535</v>
      </c>
      <c r="AT27">
        <f>AT49+AT47</f>
        <v>0.117</v>
      </c>
      <c r="AU27">
        <f>AU49+AU47</f>
        <v>0.0894</v>
      </c>
    </row>
    <row r="28" spans="1:47" ht="12.75">
      <c r="A28" s="31">
        <v>21</v>
      </c>
      <c r="B28" s="32">
        <v>400</v>
      </c>
      <c r="C28" s="33">
        <v>830</v>
      </c>
      <c r="D28" s="33" t="s">
        <v>71</v>
      </c>
      <c r="E28" s="33" t="s">
        <v>71</v>
      </c>
      <c r="F28" s="33" t="s">
        <v>71</v>
      </c>
      <c r="G28" s="33" t="s">
        <v>71</v>
      </c>
      <c r="H28" s="33" t="s">
        <v>71</v>
      </c>
      <c r="I28" s="33"/>
      <c r="J28" s="33"/>
      <c r="K28" s="33"/>
      <c r="L28" s="33"/>
      <c r="M28" s="34">
        <f t="shared" si="4"/>
        <v>0.04</v>
      </c>
      <c r="N28" s="32">
        <v>400</v>
      </c>
      <c r="O28" s="33">
        <v>645</v>
      </c>
      <c r="P28" s="33" t="s">
        <v>71</v>
      </c>
      <c r="Q28" s="33" t="s">
        <v>71</v>
      </c>
      <c r="R28" s="33" t="s">
        <v>71</v>
      </c>
      <c r="S28" s="33" t="s">
        <v>71</v>
      </c>
      <c r="T28" s="33" t="s">
        <v>71</v>
      </c>
      <c r="U28" s="33" t="s">
        <v>71</v>
      </c>
      <c r="V28" s="33" t="s">
        <v>71</v>
      </c>
      <c r="W28" s="33" t="s">
        <v>71</v>
      </c>
      <c r="X28" s="33" t="s">
        <v>71</v>
      </c>
      <c r="Y28" s="33" t="s">
        <v>71</v>
      </c>
      <c r="Z28" s="33">
        <v>0.19</v>
      </c>
      <c r="AA28" s="25">
        <v>0.06</v>
      </c>
      <c r="AP28">
        <v>1</v>
      </c>
      <c r="AQ28" s="302">
        <v>1.5</v>
      </c>
      <c r="AR28" s="304">
        <v>12.3</v>
      </c>
      <c r="AS28" s="304"/>
      <c r="AT28" s="304">
        <v>0.126</v>
      </c>
      <c r="AU28" s="304"/>
    </row>
    <row r="29" spans="2:47" ht="12.75">
      <c r="B29" s="1"/>
      <c r="AP29">
        <v>2</v>
      </c>
      <c r="AQ29" s="301">
        <v>2.5</v>
      </c>
      <c r="AR29">
        <v>7.4</v>
      </c>
      <c r="AS29">
        <v>12.5</v>
      </c>
      <c r="AT29">
        <v>0.116</v>
      </c>
      <c r="AU29">
        <v>0.104</v>
      </c>
    </row>
    <row r="30" spans="42:47" ht="12.75">
      <c r="AP30">
        <v>3</v>
      </c>
      <c r="AQ30" s="301">
        <v>4</v>
      </c>
      <c r="AR30">
        <v>4.63</v>
      </c>
      <c r="AS30">
        <v>7.81</v>
      </c>
      <c r="AT30">
        <v>0.107</v>
      </c>
      <c r="AU30">
        <v>0.095</v>
      </c>
    </row>
    <row r="31" spans="2:47" ht="94.5" customHeight="1">
      <c r="B31" s="474" t="s">
        <v>91</v>
      </c>
      <c r="C31" s="474"/>
      <c r="D31" s="474"/>
      <c r="E31" s="474"/>
      <c r="F31" s="474"/>
      <c r="G31" s="474"/>
      <c r="N31" s="474" t="s">
        <v>94</v>
      </c>
      <c r="O31" s="474"/>
      <c r="P31" s="474"/>
      <c r="Q31" s="474"/>
      <c r="R31" s="474"/>
      <c r="S31" s="474"/>
      <c r="AP31">
        <v>4</v>
      </c>
      <c r="AQ31" s="301">
        <v>6</v>
      </c>
      <c r="AR31">
        <v>3.09</v>
      </c>
      <c r="AS31">
        <v>5.21</v>
      </c>
      <c r="AT31">
        <v>0.1</v>
      </c>
      <c r="AU31">
        <v>0.09</v>
      </c>
    </row>
    <row r="32" spans="2:47" ht="12.75">
      <c r="B32" s="8"/>
      <c r="N32" s="8"/>
      <c r="AP32">
        <v>5</v>
      </c>
      <c r="AQ32" s="301">
        <v>10</v>
      </c>
      <c r="AR32">
        <v>1.84</v>
      </c>
      <c r="AS32">
        <v>3.12</v>
      </c>
      <c r="AT32">
        <v>0.099</v>
      </c>
      <c r="AU32">
        <v>0.073</v>
      </c>
    </row>
    <row r="33" spans="1:47" ht="12.75" customHeight="1">
      <c r="A33" s="9" t="s">
        <v>47</v>
      </c>
      <c r="B33" s="9" t="s">
        <v>48</v>
      </c>
      <c r="C33" s="473" t="s">
        <v>84</v>
      </c>
      <c r="D33" s="471"/>
      <c r="E33" s="471"/>
      <c r="F33" s="471"/>
      <c r="G33" s="472"/>
      <c r="N33" s="9" t="s">
        <v>48</v>
      </c>
      <c r="O33" s="473" t="s">
        <v>85</v>
      </c>
      <c r="P33" s="471"/>
      <c r="Q33" s="471"/>
      <c r="R33" s="471"/>
      <c r="S33" s="472"/>
      <c r="X33" s="9" t="s">
        <v>47</v>
      </c>
      <c r="Y33" s="9" t="s">
        <v>48</v>
      </c>
      <c r="Z33" s="473" t="s">
        <v>84</v>
      </c>
      <c r="AA33" s="471"/>
      <c r="AB33" s="471"/>
      <c r="AC33" s="471"/>
      <c r="AD33" s="472"/>
      <c r="AP33">
        <v>6</v>
      </c>
      <c r="AQ33" s="301">
        <v>16</v>
      </c>
      <c r="AR33">
        <v>1.16</v>
      </c>
      <c r="AS33">
        <v>1.95</v>
      </c>
      <c r="AT33">
        <v>0.095</v>
      </c>
      <c r="AU33">
        <v>0.0675</v>
      </c>
    </row>
    <row r="34" spans="1:47" ht="26.25">
      <c r="A34" s="12"/>
      <c r="B34" s="12" t="s">
        <v>56</v>
      </c>
      <c r="C34" s="17" t="s">
        <v>86</v>
      </c>
      <c r="D34" s="473" t="s">
        <v>53</v>
      </c>
      <c r="E34" s="472"/>
      <c r="F34" s="473" t="s">
        <v>54</v>
      </c>
      <c r="G34" s="472"/>
      <c r="N34" s="12" t="s">
        <v>50</v>
      </c>
      <c r="O34" s="17" t="s">
        <v>86</v>
      </c>
      <c r="P34" s="473" t="s">
        <v>53</v>
      </c>
      <c r="Q34" s="472"/>
      <c r="R34" s="473" t="s">
        <v>54</v>
      </c>
      <c r="S34" s="472"/>
      <c r="X34" s="12"/>
      <c r="Y34" s="12" t="s">
        <v>56</v>
      </c>
      <c r="Z34" s="17" t="s">
        <v>86</v>
      </c>
      <c r="AA34" s="473" t="s">
        <v>53</v>
      </c>
      <c r="AB34" s="472"/>
      <c r="AC34" s="473" t="s">
        <v>54</v>
      </c>
      <c r="AD34" s="472"/>
      <c r="AP34">
        <v>7</v>
      </c>
      <c r="AQ34" s="301">
        <v>25</v>
      </c>
      <c r="AR34">
        <v>0.74</v>
      </c>
      <c r="AS34">
        <v>1.25</v>
      </c>
      <c r="AT34">
        <v>0.091</v>
      </c>
      <c r="AU34">
        <v>0.0662</v>
      </c>
    </row>
    <row r="35" spans="1:47" ht="28.5" customHeight="1">
      <c r="A35" s="15"/>
      <c r="B35" s="12" t="s">
        <v>93</v>
      </c>
      <c r="C35" s="473" t="s">
        <v>87</v>
      </c>
      <c r="D35" s="471"/>
      <c r="E35" s="471"/>
      <c r="F35" s="471"/>
      <c r="G35" s="472"/>
      <c r="N35" s="12" t="s">
        <v>93</v>
      </c>
      <c r="O35" s="473" t="s">
        <v>87</v>
      </c>
      <c r="P35" s="471"/>
      <c r="Q35" s="471"/>
      <c r="R35" s="471"/>
      <c r="S35" s="472"/>
      <c r="X35" s="15"/>
      <c r="Y35" s="12" t="s">
        <v>93</v>
      </c>
      <c r="Z35" s="473" t="s">
        <v>87</v>
      </c>
      <c r="AA35" s="471"/>
      <c r="AB35" s="471"/>
      <c r="AC35" s="471"/>
      <c r="AD35" s="472"/>
      <c r="AP35">
        <v>8</v>
      </c>
      <c r="AQ35" s="301">
        <v>35</v>
      </c>
      <c r="AR35">
        <v>0.53</v>
      </c>
      <c r="AS35">
        <v>0.894</v>
      </c>
      <c r="AT35">
        <v>0.088</v>
      </c>
      <c r="AU35">
        <v>0.0637</v>
      </c>
    </row>
    <row r="36" spans="1:47" ht="12.75">
      <c r="A36" s="15"/>
      <c r="B36" s="35"/>
      <c r="C36" s="17" t="s">
        <v>68</v>
      </c>
      <c r="D36" s="10" t="s">
        <v>68</v>
      </c>
      <c r="E36" s="10" t="s">
        <v>69</v>
      </c>
      <c r="F36" s="10" t="s">
        <v>68</v>
      </c>
      <c r="G36" s="10" t="s">
        <v>69</v>
      </c>
      <c r="N36" s="35"/>
      <c r="O36" s="17" t="s">
        <v>68</v>
      </c>
      <c r="P36" s="10" t="s">
        <v>68</v>
      </c>
      <c r="Q36" s="10" t="s">
        <v>69</v>
      </c>
      <c r="R36" s="10" t="s">
        <v>68</v>
      </c>
      <c r="S36" s="10" t="s">
        <v>69</v>
      </c>
      <c r="X36" s="15"/>
      <c r="Y36" s="35"/>
      <c r="Z36" s="17" t="s">
        <v>68</v>
      </c>
      <c r="AA36" s="10" t="s">
        <v>68</v>
      </c>
      <c r="AB36" s="10" t="s">
        <v>69</v>
      </c>
      <c r="AC36" s="10" t="s">
        <v>68</v>
      </c>
      <c r="AD36" s="10" t="s">
        <v>69</v>
      </c>
      <c r="AP36">
        <v>9</v>
      </c>
      <c r="AQ36" s="301">
        <v>50</v>
      </c>
      <c r="AR36">
        <v>0.37</v>
      </c>
      <c r="AS36">
        <v>0.625</v>
      </c>
      <c r="AT36">
        <v>0.085</v>
      </c>
      <c r="AU36">
        <v>0.0625</v>
      </c>
    </row>
    <row r="37" spans="1:47" ht="12.75">
      <c r="A37" s="22">
        <v>1</v>
      </c>
      <c r="B37" s="23">
        <v>1.5</v>
      </c>
      <c r="C37" s="36">
        <v>23</v>
      </c>
      <c r="D37" s="36">
        <v>19</v>
      </c>
      <c r="E37" s="36">
        <v>33</v>
      </c>
      <c r="F37" s="36">
        <v>19</v>
      </c>
      <c r="G37" s="36">
        <v>27</v>
      </c>
      <c r="N37" s="20" t="s">
        <v>71</v>
      </c>
      <c r="O37" s="36" t="s">
        <v>71</v>
      </c>
      <c r="P37" s="36" t="s">
        <v>71</v>
      </c>
      <c r="Q37" s="36" t="s">
        <v>71</v>
      </c>
      <c r="R37" s="36" t="s">
        <v>71</v>
      </c>
      <c r="S37" s="36" t="s">
        <v>71</v>
      </c>
      <c r="X37" s="22">
        <v>1</v>
      </c>
      <c r="Y37" s="23">
        <v>1.5</v>
      </c>
      <c r="Z37" s="36">
        <v>23</v>
      </c>
      <c r="AA37" s="36">
        <v>19</v>
      </c>
      <c r="AB37" s="36">
        <v>33</v>
      </c>
      <c r="AC37" s="36">
        <v>19</v>
      </c>
      <c r="AD37" s="36">
        <v>27</v>
      </c>
      <c r="AP37">
        <v>10</v>
      </c>
      <c r="AQ37" s="301">
        <v>50</v>
      </c>
      <c r="AR37">
        <v>0.37</v>
      </c>
      <c r="AS37">
        <v>0.625</v>
      </c>
      <c r="AT37">
        <v>0.085</v>
      </c>
      <c r="AU37">
        <v>0.0625</v>
      </c>
    </row>
    <row r="38" spans="1:47" ht="12.75">
      <c r="A38" s="22">
        <v>2</v>
      </c>
      <c r="B38" s="23">
        <v>2.5</v>
      </c>
      <c r="C38" s="36">
        <v>30</v>
      </c>
      <c r="D38" s="36">
        <v>27</v>
      </c>
      <c r="E38" s="36">
        <v>44</v>
      </c>
      <c r="F38" s="36">
        <v>25</v>
      </c>
      <c r="G38" s="36">
        <v>38</v>
      </c>
      <c r="N38" s="23">
        <v>2.5</v>
      </c>
      <c r="O38" s="36">
        <v>23</v>
      </c>
      <c r="P38" s="36">
        <v>21</v>
      </c>
      <c r="Q38" s="36">
        <v>34</v>
      </c>
      <c r="R38" s="36">
        <v>19</v>
      </c>
      <c r="S38" s="36">
        <v>29</v>
      </c>
      <c r="X38" s="22">
        <v>2</v>
      </c>
      <c r="Y38" s="23">
        <v>2.5</v>
      </c>
      <c r="Z38" s="36">
        <v>30</v>
      </c>
      <c r="AA38" s="36">
        <v>33</v>
      </c>
      <c r="AB38" s="36">
        <v>44</v>
      </c>
      <c r="AC38" s="36">
        <v>25</v>
      </c>
      <c r="AD38" s="36">
        <v>38</v>
      </c>
      <c r="AP38">
        <v>11</v>
      </c>
      <c r="AQ38" s="301">
        <v>70</v>
      </c>
      <c r="AR38">
        <v>0.265</v>
      </c>
      <c r="AS38">
        <v>0.447</v>
      </c>
      <c r="AT38">
        <v>0.082</v>
      </c>
      <c r="AU38">
        <v>0.0612</v>
      </c>
    </row>
    <row r="39" spans="1:47" ht="12.75">
      <c r="A39" s="22">
        <v>3</v>
      </c>
      <c r="B39" s="23">
        <v>4</v>
      </c>
      <c r="C39" s="36">
        <v>41</v>
      </c>
      <c r="D39" s="36">
        <v>38</v>
      </c>
      <c r="E39" s="36">
        <v>55</v>
      </c>
      <c r="F39" s="36">
        <v>35</v>
      </c>
      <c r="G39" s="36">
        <v>49</v>
      </c>
      <c r="N39" s="23">
        <v>4</v>
      </c>
      <c r="O39" s="36">
        <v>31</v>
      </c>
      <c r="P39" s="36">
        <v>29</v>
      </c>
      <c r="Q39" s="36">
        <v>42</v>
      </c>
      <c r="R39" s="36">
        <v>27</v>
      </c>
      <c r="S39" s="36">
        <v>38</v>
      </c>
      <c r="X39" s="22">
        <v>3</v>
      </c>
      <c r="Y39" s="23">
        <v>4</v>
      </c>
      <c r="Z39" s="36">
        <v>41</v>
      </c>
      <c r="AA39" s="36">
        <v>38</v>
      </c>
      <c r="AB39" s="36">
        <v>55</v>
      </c>
      <c r="AC39" s="36">
        <v>35</v>
      </c>
      <c r="AD39" s="36">
        <v>49</v>
      </c>
      <c r="AP39">
        <v>12</v>
      </c>
      <c r="AQ39" s="301">
        <v>70</v>
      </c>
      <c r="AR39">
        <v>0.265</v>
      </c>
      <c r="AS39">
        <v>0.447</v>
      </c>
      <c r="AT39">
        <v>0.082</v>
      </c>
      <c r="AU39">
        <v>0.0612</v>
      </c>
    </row>
    <row r="40" spans="1:47" ht="12.75">
      <c r="A40" s="22">
        <v>4</v>
      </c>
      <c r="B40" s="23">
        <v>6</v>
      </c>
      <c r="C40" s="36">
        <v>50</v>
      </c>
      <c r="D40" s="36">
        <v>50</v>
      </c>
      <c r="E40" s="36">
        <v>70</v>
      </c>
      <c r="F40" s="36">
        <v>42</v>
      </c>
      <c r="G40" s="36">
        <v>60</v>
      </c>
      <c r="N40" s="23">
        <v>6</v>
      </c>
      <c r="O40" s="36">
        <v>38</v>
      </c>
      <c r="P40" s="36">
        <v>38</v>
      </c>
      <c r="Q40" s="36">
        <v>55</v>
      </c>
      <c r="R40" s="36">
        <v>32</v>
      </c>
      <c r="S40" s="36">
        <v>46</v>
      </c>
      <c r="X40" s="22">
        <v>4</v>
      </c>
      <c r="Y40" s="23">
        <v>6</v>
      </c>
      <c r="Z40" s="36">
        <v>50</v>
      </c>
      <c r="AA40" s="36">
        <v>50</v>
      </c>
      <c r="AB40" s="36">
        <v>70</v>
      </c>
      <c r="AC40" s="36">
        <v>42</v>
      </c>
      <c r="AD40" s="36">
        <v>60</v>
      </c>
      <c r="AP40">
        <v>13</v>
      </c>
      <c r="AQ40" s="301">
        <v>95</v>
      </c>
      <c r="AR40">
        <v>0.195</v>
      </c>
      <c r="AS40">
        <v>0.329</v>
      </c>
      <c r="AT40">
        <v>0.081</v>
      </c>
      <c r="AU40">
        <v>0.0602</v>
      </c>
    </row>
    <row r="41" spans="1:47" ht="12.75">
      <c r="A41" s="22">
        <v>5</v>
      </c>
      <c r="B41" s="23">
        <v>10</v>
      </c>
      <c r="C41" s="36">
        <v>80</v>
      </c>
      <c r="D41" s="36">
        <v>70</v>
      </c>
      <c r="E41" s="36">
        <v>105</v>
      </c>
      <c r="F41" s="36">
        <v>55</v>
      </c>
      <c r="G41" s="36">
        <v>90</v>
      </c>
      <c r="N41" s="23">
        <v>10</v>
      </c>
      <c r="O41" s="36">
        <v>60</v>
      </c>
      <c r="P41" s="36">
        <v>55</v>
      </c>
      <c r="Q41" s="36">
        <v>80</v>
      </c>
      <c r="R41" s="36">
        <v>42</v>
      </c>
      <c r="S41" s="36">
        <v>70</v>
      </c>
      <c r="X41" s="22">
        <v>5</v>
      </c>
      <c r="Y41" s="23">
        <v>10</v>
      </c>
      <c r="Z41" s="36">
        <v>80</v>
      </c>
      <c r="AA41" s="36">
        <v>70</v>
      </c>
      <c r="AB41" s="36">
        <v>105</v>
      </c>
      <c r="AC41" s="36">
        <v>55</v>
      </c>
      <c r="AD41" s="36">
        <v>90</v>
      </c>
      <c r="AP41">
        <v>14</v>
      </c>
      <c r="AQ41" s="301">
        <v>95</v>
      </c>
      <c r="AR41">
        <v>0.195</v>
      </c>
      <c r="AS41">
        <v>0.329</v>
      </c>
      <c r="AT41">
        <v>0.081</v>
      </c>
      <c r="AU41">
        <v>0.0602</v>
      </c>
    </row>
    <row r="42" spans="1:47" ht="12.75">
      <c r="A42" s="22">
        <v>6</v>
      </c>
      <c r="B42" s="23">
        <v>16</v>
      </c>
      <c r="C42" s="36">
        <v>100</v>
      </c>
      <c r="D42" s="36">
        <v>90</v>
      </c>
      <c r="E42" s="36">
        <v>135</v>
      </c>
      <c r="F42" s="36">
        <v>75</v>
      </c>
      <c r="G42" s="36">
        <v>115</v>
      </c>
      <c r="N42" s="23">
        <v>16</v>
      </c>
      <c r="O42" s="36">
        <v>75</v>
      </c>
      <c r="P42" s="36">
        <v>70</v>
      </c>
      <c r="Q42" s="36">
        <v>105</v>
      </c>
      <c r="R42" s="36">
        <v>60</v>
      </c>
      <c r="S42" s="36">
        <v>90</v>
      </c>
      <c r="X42" s="22">
        <v>6</v>
      </c>
      <c r="Y42" s="23">
        <v>16</v>
      </c>
      <c r="Z42" s="36">
        <v>100</v>
      </c>
      <c r="AA42" s="36">
        <v>90</v>
      </c>
      <c r="AB42" s="36">
        <v>135</v>
      </c>
      <c r="AC42" s="36">
        <v>75</v>
      </c>
      <c r="AD42" s="36">
        <v>115</v>
      </c>
      <c r="AP42">
        <v>15</v>
      </c>
      <c r="AQ42" s="301">
        <v>120</v>
      </c>
      <c r="AR42">
        <v>0.154</v>
      </c>
      <c r="AS42">
        <v>0.261</v>
      </c>
      <c r="AT42">
        <v>0.08</v>
      </c>
      <c r="AU42">
        <v>0.0602</v>
      </c>
    </row>
    <row r="43" spans="1:47" ht="12.75">
      <c r="A43" s="22">
        <v>7</v>
      </c>
      <c r="B43" s="23">
        <v>25</v>
      </c>
      <c r="C43" s="36">
        <v>140</v>
      </c>
      <c r="D43" s="36">
        <v>115</v>
      </c>
      <c r="E43" s="36">
        <v>175</v>
      </c>
      <c r="F43" s="36">
        <v>95</v>
      </c>
      <c r="G43" s="36">
        <v>150</v>
      </c>
      <c r="N43" s="23">
        <v>25</v>
      </c>
      <c r="O43" s="36">
        <v>105</v>
      </c>
      <c r="P43" s="36">
        <v>90</v>
      </c>
      <c r="Q43" s="36">
        <v>135</v>
      </c>
      <c r="R43" s="36">
        <v>75</v>
      </c>
      <c r="S43" s="36">
        <v>115</v>
      </c>
      <c r="X43" s="22">
        <v>7</v>
      </c>
      <c r="Y43" s="23">
        <v>25</v>
      </c>
      <c r="Z43" s="36">
        <v>140</v>
      </c>
      <c r="AA43" s="36">
        <v>115</v>
      </c>
      <c r="AB43" s="36">
        <v>175</v>
      </c>
      <c r="AC43" s="36">
        <v>95</v>
      </c>
      <c r="AD43" s="36">
        <v>150</v>
      </c>
      <c r="AP43">
        <v>16</v>
      </c>
      <c r="AQ43" s="301">
        <v>120</v>
      </c>
      <c r="AR43">
        <v>0.154</v>
      </c>
      <c r="AS43">
        <v>0.261</v>
      </c>
      <c r="AT43">
        <v>0.08</v>
      </c>
      <c r="AU43">
        <v>0.0602</v>
      </c>
    </row>
    <row r="44" spans="1:47" ht="12.75">
      <c r="A44" s="22">
        <v>8</v>
      </c>
      <c r="B44" s="23">
        <v>35</v>
      </c>
      <c r="C44" s="36">
        <v>170</v>
      </c>
      <c r="D44" s="36">
        <v>140</v>
      </c>
      <c r="E44" s="36">
        <v>210</v>
      </c>
      <c r="F44" s="36">
        <v>120</v>
      </c>
      <c r="G44" s="36">
        <v>180</v>
      </c>
      <c r="N44" s="23">
        <v>35</v>
      </c>
      <c r="O44" s="36">
        <v>130</v>
      </c>
      <c r="P44" s="36">
        <v>105</v>
      </c>
      <c r="Q44" s="36">
        <v>160</v>
      </c>
      <c r="R44" s="36">
        <v>90</v>
      </c>
      <c r="S44" s="36">
        <v>140</v>
      </c>
      <c r="X44" s="22">
        <v>8</v>
      </c>
      <c r="Y44" s="23">
        <v>35</v>
      </c>
      <c r="Z44" s="36">
        <v>170</v>
      </c>
      <c r="AA44" s="36">
        <v>140</v>
      </c>
      <c r="AB44" s="36">
        <v>210</v>
      </c>
      <c r="AC44" s="36">
        <v>120</v>
      </c>
      <c r="AD44" s="36">
        <v>180</v>
      </c>
      <c r="AP44">
        <v>17</v>
      </c>
      <c r="AQ44" s="301">
        <v>150</v>
      </c>
      <c r="AR44">
        <v>0.124</v>
      </c>
      <c r="AS44">
        <v>0.208</v>
      </c>
      <c r="AT44">
        <v>0.079</v>
      </c>
      <c r="AU44">
        <v>0.0596</v>
      </c>
    </row>
    <row r="45" spans="1:47" ht="12.75">
      <c r="A45" s="22">
        <v>9</v>
      </c>
      <c r="B45" s="23">
        <v>50</v>
      </c>
      <c r="C45" s="36">
        <v>215</v>
      </c>
      <c r="D45" s="36">
        <v>175</v>
      </c>
      <c r="E45" s="36">
        <v>265</v>
      </c>
      <c r="F45" s="36">
        <v>145</v>
      </c>
      <c r="G45" s="36">
        <v>225</v>
      </c>
      <c r="N45" s="23">
        <v>50</v>
      </c>
      <c r="O45" s="36">
        <v>165</v>
      </c>
      <c r="P45" s="36">
        <v>135</v>
      </c>
      <c r="Q45" s="36">
        <v>205</v>
      </c>
      <c r="R45" s="36">
        <v>110</v>
      </c>
      <c r="S45" s="36">
        <v>175</v>
      </c>
      <c r="X45" s="22">
        <v>9</v>
      </c>
      <c r="Y45" s="23">
        <v>50</v>
      </c>
      <c r="Z45" s="36">
        <v>215</v>
      </c>
      <c r="AA45" s="36">
        <v>175</v>
      </c>
      <c r="AB45" s="36">
        <v>265</v>
      </c>
      <c r="AC45" s="36">
        <v>145</v>
      </c>
      <c r="AD45" s="36">
        <v>225</v>
      </c>
      <c r="AP45">
        <v>18</v>
      </c>
      <c r="AQ45" s="301">
        <v>150</v>
      </c>
      <c r="AR45">
        <v>0.124</v>
      </c>
      <c r="AS45">
        <v>0.208</v>
      </c>
      <c r="AT45">
        <v>0.079</v>
      </c>
      <c r="AU45">
        <v>0.0596</v>
      </c>
    </row>
    <row r="46" spans="1:47" ht="12.75">
      <c r="A46" s="22">
        <v>10</v>
      </c>
      <c r="B46" s="23">
        <v>70</v>
      </c>
      <c r="C46" s="36">
        <v>270</v>
      </c>
      <c r="D46" s="36">
        <v>215</v>
      </c>
      <c r="E46" s="36">
        <v>320</v>
      </c>
      <c r="F46" s="36">
        <v>180</v>
      </c>
      <c r="G46" s="36">
        <v>275</v>
      </c>
      <c r="N46" s="23">
        <v>70</v>
      </c>
      <c r="O46" s="36">
        <v>210</v>
      </c>
      <c r="P46" s="36">
        <v>165</v>
      </c>
      <c r="Q46" s="36">
        <v>245</v>
      </c>
      <c r="R46" s="36">
        <v>140</v>
      </c>
      <c r="S46" s="36">
        <v>210</v>
      </c>
      <c r="X46" s="22">
        <v>10</v>
      </c>
      <c r="Y46" s="23">
        <v>70</v>
      </c>
      <c r="Z46" s="36">
        <v>270</v>
      </c>
      <c r="AA46" s="36">
        <v>215</v>
      </c>
      <c r="AB46" s="36">
        <v>320</v>
      </c>
      <c r="AC46" s="36">
        <v>180</v>
      </c>
      <c r="AD46" s="36">
        <v>275</v>
      </c>
      <c r="AP46">
        <v>19</v>
      </c>
      <c r="AQ46" s="301">
        <v>185</v>
      </c>
      <c r="AR46">
        <v>0.1</v>
      </c>
      <c r="AS46">
        <v>0.169</v>
      </c>
      <c r="AT46">
        <v>0.078</v>
      </c>
      <c r="AU46">
        <v>0.0596</v>
      </c>
    </row>
    <row r="47" spans="1:47" ht="12.75">
      <c r="A47" s="22">
        <v>11</v>
      </c>
      <c r="B47" s="23">
        <v>95</v>
      </c>
      <c r="C47" s="36">
        <v>325</v>
      </c>
      <c r="D47" s="36">
        <v>260</v>
      </c>
      <c r="E47" s="36">
        <v>385</v>
      </c>
      <c r="F47" s="36">
        <v>220</v>
      </c>
      <c r="G47" s="36">
        <v>330</v>
      </c>
      <c r="N47" s="23">
        <v>95</v>
      </c>
      <c r="O47" s="36">
        <v>250</v>
      </c>
      <c r="P47" s="36">
        <v>200</v>
      </c>
      <c r="Q47" s="36">
        <v>295</v>
      </c>
      <c r="R47" s="36">
        <v>170</v>
      </c>
      <c r="S47" s="36">
        <v>255</v>
      </c>
      <c r="X47" s="22">
        <v>11</v>
      </c>
      <c r="Y47" s="23">
        <v>95</v>
      </c>
      <c r="Z47" s="36">
        <v>325</v>
      </c>
      <c r="AA47" s="36">
        <v>260</v>
      </c>
      <c r="AB47" s="36">
        <v>385</v>
      </c>
      <c r="AC47" s="36">
        <v>220</v>
      </c>
      <c r="AD47" s="36">
        <v>330</v>
      </c>
      <c r="AP47">
        <v>20</v>
      </c>
      <c r="AQ47" s="301">
        <v>185</v>
      </c>
      <c r="AR47">
        <v>0.1</v>
      </c>
      <c r="AS47">
        <v>0.169</v>
      </c>
      <c r="AT47">
        <v>0.078</v>
      </c>
      <c r="AU47">
        <v>0.0596</v>
      </c>
    </row>
    <row r="48" spans="1:47" ht="12.75">
      <c r="A48" s="22">
        <v>12</v>
      </c>
      <c r="B48" s="23">
        <v>120</v>
      </c>
      <c r="C48" s="36">
        <v>385</v>
      </c>
      <c r="D48" s="36">
        <v>300</v>
      </c>
      <c r="E48" s="36">
        <v>445</v>
      </c>
      <c r="F48" s="36">
        <v>260</v>
      </c>
      <c r="G48" s="36">
        <v>385</v>
      </c>
      <c r="N48" s="23">
        <v>120</v>
      </c>
      <c r="O48" s="36">
        <v>295</v>
      </c>
      <c r="P48" s="36">
        <v>230</v>
      </c>
      <c r="Q48" s="36">
        <v>340</v>
      </c>
      <c r="R48" s="36">
        <v>200</v>
      </c>
      <c r="S48" s="36">
        <v>295</v>
      </c>
      <c r="X48" s="22">
        <v>12</v>
      </c>
      <c r="Y48" s="23">
        <v>120</v>
      </c>
      <c r="Z48" s="36">
        <v>385</v>
      </c>
      <c r="AA48" s="36">
        <v>300</v>
      </c>
      <c r="AB48" s="36">
        <v>445</v>
      </c>
      <c r="AC48" s="36">
        <v>260</v>
      </c>
      <c r="AD48" s="36">
        <v>385</v>
      </c>
      <c r="AP48">
        <v>21</v>
      </c>
      <c r="AQ48" s="301" t="s">
        <v>306</v>
      </c>
      <c r="AR48">
        <f>AR47/2</f>
        <v>0.05</v>
      </c>
      <c r="AS48">
        <f>AS47/2</f>
        <v>0.0845</v>
      </c>
      <c r="AT48">
        <f>AT47/2</f>
        <v>0.039</v>
      </c>
      <c r="AU48">
        <f>AU47/2</f>
        <v>0.0298</v>
      </c>
    </row>
    <row r="49" spans="1:47" ht="12.75">
      <c r="A49" s="22">
        <v>13</v>
      </c>
      <c r="B49" s="23">
        <v>150</v>
      </c>
      <c r="C49" s="36">
        <v>440</v>
      </c>
      <c r="D49" s="36">
        <v>350</v>
      </c>
      <c r="E49" s="36">
        <v>505</v>
      </c>
      <c r="F49" s="36">
        <v>305</v>
      </c>
      <c r="G49" s="36">
        <v>435</v>
      </c>
      <c r="N49" s="23">
        <v>150</v>
      </c>
      <c r="O49" s="36">
        <v>340</v>
      </c>
      <c r="P49" s="36">
        <v>270</v>
      </c>
      <c r="Q49" s="36">
        <v>390</v>
      </c>
      <c r="R49" s="36">
        <v>235</v>
      </c>
      <c r="S49" s="36">
        <v>335</v>
      </c>
      <c r="X49" s="22">
        <v>13</v>
      </c>
      <c r="Y49" s="23">
        <v>150</v>
      </c>
      <c r="Z49" s="36">
        <v>440</v>
      </c>
      <c r="AA49" s="36">
        <v>350</v>
      </c>
      <c r="AB49" s="36">
        <v>505</v>
      </c>
      <c r="AC49" s="36">
        <v>305</v>
      </c>
      <c r="AD49" s="36">
        <v>435</v>
      </c>
      <c r="AP49">
        <v>22</v>
      </c>
      <c r="AQ49" s="301" t="s">
        <v>306</v>
      </c>
      <c r="AR49">
        <f>AR47/2</f>
        <v>0.05</v>
      </c>
      <c r="AS49">
        <f>AS47/2</f>
        <v>0.0845</v>
      </c>
      <c r="AT49">
        <f>AT47/2</f>
        <v>0.039</v>
      </c>
      <c r="AU49">
        <f>AU47/2</f>
        <v>0.0298</v>
      </c>
    </row>
    <row r="50" spans="1:30" ht="12.75">
      <c r="A50" s="22">
        <v>14</v>
      </c>
      <c r="B50" s="23">
        <v>185</v>
      </c>
      <c r="C50" s="36">
        <v>510</v>
      </c>
      <c r="D50" s="36">
        <v>405</v>
      </c>
      <c r="E50" s="36">
        <v>570</v>
      </c>
      <c r="F50" s="36">
        <v>350</v>
      </c>
      <c r="G50" s="36">
        <v>500</v>
      </c>
      <c r="N50" s="23">
        <v>185</v>
      </c>
      <c r="O50" s="36">
        <v>390</v>
      </c>
      <c r="P50" s="36">
        <v>310</v>
      </c>
      <c r="Q50" s="36">
        <v>440</v>
      </c>
      <c r="R50" s="36">
        <v>270</v>
      </c>
      <c r="S50" s="36">
        <v>385</v>
      </c>
      <c r="X50" s="22">
        <v>14</v>
      </c>
      <c r="Y50" s="23">
        <v>185</v>
      </c>
      <c r="Z50" s="36">
        <v>510</v>
      </c>
      <c r="AA50" s="36">
        <v>405</v>
      </c>
      <c r="AB50" s="36">
        <v>570</v>
      </c>
      <c r="AC50" s="36">
        <v>350</v>
      </c>
      <c r="AD50" s="36">
        <v>500</v>
      </c>
    </row>
    <row r="51" spans="1:30" ht="12.75">
      <c r="A51" s="22">
        <v>15</v>
      </c>
      <c r="B51" s="32">
        <v>240</v>
      </c>
      <c r="C51" s="37">
        <v>605</v>
      </c>
      <c r="D51" s="37" t="s">
        <v>71</v>
      </c>
      <c r="E51" s="37" t="s">
        <v>71</v>
      </c>
      <c r="F51" s="37" t="s">
        <v>71</v>
      </c>
      <c r="G51" s="37" t="s">
        <v>71</v>
      </c>
      <c r="N51" s="32">
        <v>240</v>
      </c>
      <c r="O51" s="37">
        <v>465</v>
      </c>
      <c r="P51" s="37" t="s">
        <v>71</v>
      </c>
      <c r="Q51" s="37" t="s">
        <v>71</v>
      </c>
      <c r="R51" s="37" t="s">
        <v>71</v>
      </c>
      <c r="S51" s="37" t="s">
        <v>71</v>
      </c>
      <c r="X51" s="22">
        <v>15</v>
      </c>
      <c r="Y51" s="32">
        <v>240</v>
      </c>
      <c r="Z51" s="37">
        <v>605</v>
      </c>
      <c r="AA51" s="37" t="s">
        <v>71</v>
      </c>
      <c r="AB51" s="37" t="s">
        <v>71</v>
      </c>
      <c r="AC51" s="37" t="s">
        <v>71</v>
      </c>
      <c r="AD51" s="37" t="s">
        <v>71</v>
      </c>
    </row>
    <row r="52" spans="1:30" ht="48.75" customHeight="1">
      <c r="A52" s="38"/>
      <c r="B52" s="476" t="s">
        <v>88</v>
      </c>
      <c r="C52" s="477"/>
      <c r="D52" s="477"/>
      <c r="E52" s="477"/>
      <c r="F52" s="477"/>
      <c r="G52" s="477"/>
      <c r="N52" s="475" t="s">
        <v>89</v>
      </c>
      <c r="O52" s="475"/>
      <c r="P52" s="475"/>
      <c r="Q52" s="475"/>
      <c r="R52" s="475"/>
      <c r="S52" s="475"/>
      <c r="X52" s="38"/>
      <c r="Y52" s="480" t="s">
        <v>88</v>
      </c>
      <c r="Z52" s="481"/>
      <c r="AA52" s="481"/>
      <c r="AB52" s="481"/>
      <c r="AC52" s="481"/>
      <c r="AD52" s="481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ht="12.75">
      <c r="A59" s="39"/>
    </row>
    <row r="60" ht="12.75">
      <c r="A60" s="42"/>
    </row>
    <row r="61" ht="12.75">
      <c r="A61" s="42"/>
    </row>
  </sheetData>
  <sheetProtection/>
  <mergeCells count="35">
    <mergeCell ref="AR4:AS4"/>
    <mergeCell ref="AT4:AU4"/>
    <mergeCell ref="Y52:AD52"/>
    <mergeCell ref="Z33:AD33"/>
    <mergeCell ref="AA34:AB34"/>
    <mergeCell ref="AC34:AD34"/>
    <mergeCell ref="Z35:AD35"/>
    <mergeCell ref="Z4:AA4"/>
    <mergeCell ref="B1:H1"/>
    <mergeCell ref="O3:T3"/>
    <mergeCell ref="P4:T4"/>
    <mergeCell ref="N1:T1"/>
    <mergeCell ref="I1:M1"/>
    <mergeCell ref="C35:G35"/>
    <mergeCell ref="C3:H3"/>
    <mergeCell ref="D4:H4"/>
    <mergeCell ref="B31:G31"/>
    <mergeCell ref="N31:S31"/>
    <mergeCell ref="N52:S52"/>
    <mergeCell ref="C33:G33"/>
    <mergeCell ref="D34:E34"/>
    <mergeCell ref="B52:G52"/>
    <mergeCell ref="O35:S35"/>
    <mergeCell ref="O33:S33"/>
    <mergeCell ref="P34:Q34"/>
    <mergeCell ref="R34:S34"/>
    <mergeCell ref="F34:G34"/>
    <mergeCell ref="I5:L5"/>
    <mergeCell ref="U3:X3"/>
    <mergeCell ref="U4:V4"/>
    <mergeCell ref="W4:X4"/>
    <mergeCell ref="U5:X5"/>
    <mergeCell ref="I3:L3"/>
    <mergeCell ref="I4:J4"/>
    <mergeCell ref="K4:L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pane ySplit="936" topLeftCell="BM1" activePane="bottomLeft" state="split"/>
      <selection pane="topLeft" activeCell="A1" sqref="A1"/>
      <selection pane="bottomLeft" activeCell="G20" sqref="G20"/>
    </sheetView>
  </sheetViews>
  <sheetFormatPr defaultColWidth="9.140625" defaultRowHeight="12.75"/>
  <cols>
    <col min="1" max="1" width="4.421875" style="81" customWidth="1"/>
    <col min="2" max="2" width="25.28125" style="81" customWidth="1"/>
    <col min="3" max="3" width="16.140625" style="81" customWidth="1"/>
    <col min="4" max="4" width="10.00390625" style="81" customWidth="1"/>
    <col min="5" max="5" width="9.00390625" style="81" customWidth="1"/>
    <col min="6" max="6" width="7.8515625" style="81" customWidth="1"/>
    <col min="7" max="7" width="10.7109375" style="81" customWidth="1"/>
    <col min="8" max="8" width="8.57421875" style="81" customWidth="1"/>
    <col min="9" max="9" width="9.57421875" style="81" customWidth="1"/>
    <col min="10" max="10" width="8.7109375" style="81" customWidth="1"/>
    <col min="11" max="11" width="7.421875" style="81" customWidth="1"/>
    <col min="12" max="16384" width="9.140625" style="81" customWidth="1"/>
  </cols>
  <sheetData>
    <row r="1" spans="1:11" ht="33.75" customHeight="1" thickBot="1">
      <c r="A1" s="75" t="s">
        <v>131</v>
      </c>
      <c r="B1" s="76" t="s">
        <v>132</v>
      </c>
      <c r="C1" s="77" t="s">
        <v>133</v>
      </c>
      <c r="D1" s="77" t="s">
        <v>134</v>
      </c>
      <c r="E1" s="78" t="s">
        <v>135</v>
      </c>
      <c r="F1" s="77" t="s">
        <v>136</v>
      </c>
      <c r="G1" s="77" t="s">
        <v>137</v>
      </c>
      <c r="H1" s="77" t="s">
        <v>138</v>
      </c>
      <c r="I1" s="79" t="s">
        <v>139</v>
      </c>
      <c r="J1" s="77" t="s">
        <v>140</v>
      </c>
      <c r="K1" s="80" t="s">
        <v>141</v>
      </c>
    </row>
    <row r="2" spans="1:11" ht="17.25" customHeight="1" thickBot="1">
      <c r="A2" s="82">
        <v>1</v>
      </c>
      <c r="B2" s="83" t="s">
        <v>142</v>
      </c>
      <c r="C2" s="84" t="s">
        <v>71</v>
      </c>
      <c r="D2" s="85">
        <v>0</v>
      </c>
      <c r="E2" s="86">
        <v>0</v>
      </c>
      <c r="F2" s="84">
        <v>1</v>
      </c>
      <c r="G2" s="104">
        <v>1</v>
      </c>
      <c r="H2" s="84">
        <v>0</v>
      </c>
      <c r="I2" s="87">
        <v>0</v>
      </c>
      <c r="J2" s="84">
        <v>0</v>
      </c>
      <c r="K2" s="87">
        <v>0</v>
      </c>
    </row>
    <row r="3" spans="1:11" ht="17.25" customHeight="1" thickBot="1">
      <c r="A3" s="82">
        <v>2</v>
      </c>
      <c r="B3" s="88" t="s">
        <v>224</v>
      </c>
      <c r="C3" s="89" t="s">
        <v>71</v>
      </c>
      <c r="D3" s="90">
        <v>0</v>
      </c>
      <c r="E3" s="91">
        <v>0</v>
      </c>
      <c r="F3" s="89">
        <v>1</v>
      </c>
      <c r="G3" s="105">
        <v>1</v>
      </c>
      <c r="H3" s="89">
        <v>0</v>
      </c>
      <c r="I3" s="92">
        <v>0</v>
      </c>
      <c r="J3" s="89">
        <v>0</v>
      </c>
      <c r="K3" s="92">
        <v>0</v>
      </c>
    </row>
    <row r="4" spans="1:11" ht="17.25" customHeight="1" thickBot="1">
      <c r="A4" s="82">
        <v>3</v>
      </c>
      <c r="B4" s="93" t="s">
        <v>221</v>
      </c>
      <c r="C4" s="89" t="s">
        <v>71</v>
      </c>
      <c r="D4" s="103">
        <v>3.55</v>
      </c>
      <c r="E4" s="95">
        <f>D4/SQRT(3)/0.38/F4/G4</f>
        <v>10.04</v>
      </c>
      <c r="F4" s="93">
        <v>0.68</v>
      </c>
      <c r="G4" s="106">
        <v>0.79</v>
      </c>
      <c r="H4" s="93">
        <v>7.5</v>
      </c>
      <c r="I4" s="96">
        <f>E4*H4</f>
        <v>75.3</v>
      </c>
      <c r="J4" s="93">
        <v>1424</v>
      </c>
      <c r="K4" s="96">
        <f>TAN(ACOS(F4))</f>
        <v>1.08</v>
      </c>
    </row>
    <row r="5" spans="1:11" ht="17.25" customHeight="1" thickBot="1">
      <c r="A5" s="82">
        <v>4</v>
      </c>
      <c r="B5" s="93" t="s">
        <v>223</v>
      </c>
      <c r="C5" s="89" t="s">
        <v>71</v>
      </c>
      <c r="D5" s="103">
        <v>3.55</v>
      </c>
      <c r="E5" s="95">
        <f>D5/SQRT(3)/0.38/F5/G5</f>
        <v>15.9</v>
      </c>
      <c r="F5" s="93">
        <v>0.68</v>
      </c>
      <c r="G5" s="106">
        <v>0.4988</v>
      </c>
      <c r="H5" s="93">
        <v>7.5</v>
      </c>
      <c r="I5" s="96">
        <f>E5*H5</f>
        <v>119.25</v>
      </c>
      <c r="J5" s="93">
        <v>1390</v>
      </c>
      <c r="K5" s="96">
        <f aca="true" t="shared" si="0" ref="K5:K14">TAN(ACOS(F5))</f>
        <v>1.08</v>
      </c>
    </row>
    <row r="6" spans="1:11" ht="17.25" customHeight="1" thickBot="1">
      <c r="A6" s="82">
        <v>5</v>
      </c>
      <c r="B6" s="93" t="s">
        <v>220</v>
      </c>
      <c r="C6" s="89" t="s">
        <v>71</v>
      </c>
      <c r="D6" s="103">
        <v>4.5</v>
      </c>
      <c r="E6" s="95">
        <f>D6/SQRT(3)/0.38/F6/G6</f>
        <v>11.33</v>
      </c>
      <c r="F6" s="93">
        <v>0.71</v>
      </c>
      <c r="G6" s="106">
        <v>0.85</v>
      </c>
      <c r="H6" s="93">
        <v>7.5</v>
      </c>
      <c r="I6" s="96">
        <f>E6*H6</f>
        <v>84.98</v>
      </c>
      <c r="J6" s="93">
        <v>910</v>
      </c>
      <c r="K6" s="96">
        <f t="shared" si="0"/>
        <v>0.99</v>
      </c>
    </row>
    <row r="7" spans="1:11" ht="17.25" customHeight="1" thickBot="1">
      <c r="A7" s="82">
        <v>6</v>
      </c>
      <c r="B7" s="93" t="s">
        <v>222</v>
      </c>
      <c r="C7" s="89" t="s">
        <v>71</v>
      </c>
      <c r="D7" s="103">
        <v>4.5</v>
      </c>
      <c r="E7" s="95">
        <f>D7/SQRT(3)/0.38/F7/G7</f>
        <v>15.91</v>
      </c>
      <c r="F7" s="93">
        <v>0.65</v>
      </c>
      <c r="G7" s="106">
        <v>0.661</v>
      </c>
      <c r="H7" s="93">
        <v>7.5</v>
      </c>
      <c r="I7" s="96">
        <f>E7*H7</f>
        <v>119.33</v>
      </c>
      <c r="J7" s="93">
        <v>1380</v>
      </c>
      <c r="K7" s="96">
        <f t="shared" si="0"/>
        <v>1.17</v>
      </c>
    </row>
    <row r="8" spans="1:11" ht="17.25" customHeight="1" thickBot="1">
      <c r="A8" s="82">
        <v>7</v>
      </c>
      <c r="B8" s="93" t="s">
        <v>260</v>
      </c>
      <c r="C8" s="89" t="s">
        <v>71</v>
      </c>
      <c r="D8" s="103">
        <v>5</v>
      </c>
      <c r="E8" s="95">
        <f>D8/SQRT(3)/0.38/F8/G8</f>
        <v>13.01</v>
      </c>
      <c r="F8" s="93">
        <v>0.8</v>
      </c>
      <c r="G8" s="106">
        <v>0.73</v>
      </c>
      <c r="H8" s="93">
        <v>7.5</v>
      </c>
      <c r="I8" s="96">
        <f>E8*H8</f>
        <v>97.58</v>
      </c>
      <c r="J8" s="93">
        <v>1500</v>
      </c>
      <c r="K8" s="96">
        <f>TAN(ACOS(F8))</f>
        <v>0.75</v>
      </c>
    </row>
    <row r="9" spans="1:11" ht="17.25" customHeight="1" thickBot="1">
      <c r="A9" s="82">
        <v>8</v>
      </c>
      <c r="B9" s="88" t="s">
        <v>225</v>
      </c>
      <c r="C9" s="89" t="s">
        <v>71</v>
      </c>
      <c r="D9" s="90">
        <v>0</v>
      </c>
      <c r="E9" s="91">
        <v>0</v>
      </c>
      <c r="F9" s="89">
        <v>1</v>
      </c>
      <c r="G9" s="105">
        <v>1</v>
      </c>
      <c r="H9" s="89">
        <v>0</v>
      </c>
      <c r="I9" s="92">
        <v>0</v>
      </c>
      <c r="J9" s="89">
        <v>0</v>
      </c>
      <c r="K9" s="92">
        <v>0</v>
      </c>
    </row>
    <row r="10" spans="1:11" ht="17.25" customHeight="1" thickBot="1">
      <c r="A10" s="82">
        <v>9</v>
      </c>
      <c r="B10" s="93" t="s">
        <v>226</v>
      </c>
      <c r="C10" s="89" t="s">
        <v>71</v>
      </c>
      <c r="D10" s="103">
        <v>5</v>
      </c>
      <c r="E10" s="95">
        <f>D10/SQRT(3)/0.38/F10/G10</f>
        <v>14.14</v>
      </c>
      <c r="F10" s="93">
        <v>0.68</v>
      </c>
      <c r="G10" s="106">
        <v>0.79</v>
      </c>
      <c r="H10" s="93">
        <v>7.5</v>
      </c>
      <c r="I10" s="96">
        <f>E10*H10</f>
        <v>106.05</v>
      </c>
      <c r="J10" s="93">
        <v>1380</v>
      </c>
      <c r="K10" s="96">
        <f t="shared" si="0"/>
        <v>1.08</v>
      </c>
    </row>
    <row r="11" spans="1:11" ht="17.25" customHeight="1" thickBot="1">
      <c r="A11" s="82">
        <v>10</v>
      </c>
      <c r="B11" s="88" t="s">
        <v>219</v>
      </c>
      <c r="C11" s="89" t="s">
        <v>71</v>
      </c>
      <c r="D11" s="90">
        <v>0</v>
      </c>
      <c r="E11" s="91">
        <v>0</v>
      </c>
      <c r="F11" s="89">
        <v>1</v>
      </c>
      <c r="G11" s="105">
        <v>1</v>
      </c>
      <c r="H11" s="89">
        <v>0</v>
      </c>
      <c r="I11" s="92">
        <v>0</v>
      </c>
      <c r="J11" s="89">
        <v>0</v>
      </c>
      <c r="K11" s="92">
        <v>0</v>
      </c>
    </row>
    <row r="12" spans="1:11" ht="17.25" customHeight="1" thickBot="1">
      <c r="A12" s="82">
        <v>11</v>
      </c>
      <c r="B12" s="93" t="s">
        <v>227</v>
      </c>
      <c r="C12" s="89" t="s">
        <v>71</v>
      </c>
      <c r="D12" s="103">
        <v>2.2</v>
      </c>
      <c r="E12" s="95">
        <f aca="true" t="shared" si="1" ref="E12:E19">D12/SQRT(3)/0.38/F12/G12</f>
        <v>5.65</v>
      </c>
      <c r="F12" s="93">
        <v>0.73</v>
      </c>
      <c r="G12" s="106">
        <v>0.81</v>
      </c>
      <c r="H12" s="93">
        <v>7.5</v>
      </c>
      <c r="I12" s="96">
        <f>E12*H12</f>
        <v>42.38</v>
      </c>
      <c r="J12" s="93">
        <v>755</v>
      </c>
      <c r="K12" s="96">
        <f t="shared" si="0"/>
        <v>0.94</v>
      </c>
    </row>
    <row r="13" spans="1:11" ht="17.25" customHeight="1" thickBot="1">
      <c r="A13" s="82">
        <v>12</v>
      </c>
      <c r="B13" s="93" t="s">
        <v>228</v>
      </c>
      <c r="C13" s="89" t="s">
        <v>71</v>
      </c>
      <c r="D13" s="103">
        <v>7.5</v>
      </c>
      <c r="E13" s="95">
        <f t="shared" si="1"/>
        <v>16.35</v>
      </c>
      <c r="F13" s="93">
        <v>0.82</v>
      </c>
      <c r="G13" s="106">
        <v>0.85</v>
      </c>
      <c r="H13" s="93">
        <v>7.5</v>
      </c>
      <c r="I13" s="96">
        <f>E13*H13</f>
        <v>122.63</v>
      </c>
      <c r="J13" s="93">
        <v>755</v>
      </c>
      <c r="K13" s="96">
        <f t="shared" si="0"/>
        <v>0.7</v>
      </c>
    </row>
    <row r="14" spans="1:11" ht="17.25" customHeight="1" thickBot="1">
      <c r="A14" s="82">
        <v>13</v>
      </c>
      <c r="B14" s="93" t="s">
        <v>229</v>
      </c>
      <c r="C14" s="89" t="s">
        <v>71</v>
      </c>
      <c r="D14" s="103">
        <v>15</v>
      </c>
      <c r="E14" s="95">
        <f t="shared" si="1"/>
        <v>42.25</v>
      </c>
      <c r="F14" s="93">
        <v>0.62</v>
      </c>
      <c r="G14" s="106">
        <v>0.87</v>
      </c>
      <c r="H14" s="93">
        <v>7.5</v>
      </c>
      <c r="I14" s="96">
        <f>E14*H14</f>
        <v>316.88</v>
      </c>
      <c r="J14" s="93">
        <v>755</v>
      </c>
      <c r="K14" s="96">
        <f t="shared" si="0"/>
        <v>1.27</v>
      </c>
    </row>
    <row r="15" spans="1:11" ht="17.25" customHeight="1" thickBot="1">
      <c r="A15" s="82">
        <v>14</v>
      </c>
      <c r="B15" s="93" t="s">
        <v>261</v>
      </c>
      <c r="C15" s="89" t="s">
        <v>71</v>
      </c>
      <c r="D15" s="90">
        <v>7.5</v>
      </c>
      <c r="E15" s="95">
        <f t="shared" si="1"/>
        <v>13.55</v>
      </c>
      <c r="F15" s="89">
        <v>0.96</v>
      </c>
      <c r="G15" s="105">
        <v>0.876</v>
      </c>
      <c r="H15" s="89">
        <v>0</v>
      </c>
      <c r="I15" s="92">
        <v>0</v>
      </c>
      <c r="J15" s="89">
        <v>0</v>
      </c>
      <c r="K15" s="92">
        <v>0</v>
      </c>
    </row>
    <row r="16" spans="1:11" ht="17.25" customHeight="1" thickBot="1">
      <c r="A16" s="82">
        <v>15</v>
      </c>
      <c r="B16" s="93" t="s">
        <v>262</v>
      </c>
      <c r="C16" s="89" t="s">
        <v>71</v>
      </c>
      <c r="D16" s="94">
        <v>5</v>
      </c>
      <c r="E16" s="95">
        <f t="shared" si="1"/>
        <v>13.68</v>
      </c>
      <c r="F16" s="93">
        <v>0.71</v>
      </c>
      <c r="G16" s="106">
        <v>0.782</v>
      </c>
      <c r="H16" s="93">
        <v>7.5</v>
      </c>
      <c r="I16" s="96">
        <v>32.4</v>
      </c>
      <c r="J16" s="93">
        <v>3000</v>
      </c>
      <c r="K16" s="96">
        <v>0.57</v>
      </c>
    </row>
    <row r="17" spans="1:11" ht="17.25" customHeight="1" thickBot="1">
      <c r="A17" s="82">
        <v>16</v>
      </c>
      <c r="B17" s="93" t="s">
        <v>263</v>
      </c>
      <c r="C17" s="89" t="s">
        <v>71</v>
      </c>
      <c r="D17" s="94">
        <v>7</v>
      </c>
      <c r="E17" s="95">
        <f t="shared" si="1"/>
        <v>16.21</v>
      </c>
      <c r="F17" s="93">
        <v>0.82</v>
      </c>
      <c r="G17" s="106">
        <v>0.8</v>
      </c>
      <c r="H17" s="93">
        <v>7.5</v>
      </c>
      <c r="I17" s="96">
        <v>80.02</v>
      </c>
      <c r="J17" s="93">
        <v>3000</v>
      </c>
      <c r="K17" s="96">
        <v>0.51</v>
      </c>
    </row>
    <row r="18" spans="1:11" ht="17.25" customHeight="1" thickBot="1">
      <c r="A18" s="82">
        <v>17</v>
      </c>
      <c r="B18" s="93" t="s">
        <v>265</v>
      </c>
      <c r="C18" s="89" t="s">
        <v>71</v>
      </c>
      <c r="D18" s="94">
        <v>3</v>
      </c>
      <c r="E18" s="95">
        <f t="shared" si="1"/>
        <v>9.91</v>
      </c>
      <c r="F18" s="93">
        <v>0.63</v>
      </c>
      <c r="G18" s="106">
        <v>0.73</v>
      </c>
      <c r="H18" s="93">
        <v>7.5</v>
      </c>
      <c r="I18" s="96">
        <v>115.18</v>
      </c>
      <c r="J18" s="93">
        <v>1000</v>
      </c>
      <c r="K18" s="96">
        <v>0.72</v>
      </c>
    </row>
    <row r="19" spans="1:11" ht="17.25" customHeight="1" thickBot="1">
      <c r="A19" s="82">
        <v>18</v>
      </c>
      <c r="B19" s="93" t="s">
        <v>271</v>
      </c>
      <c r="C19" s="89" t="s">
        <v>71</v>
      </c>
      <c r="D19" s="103">
        <v>3.55</v>
      </c>
      <c r="E19" s="95">
        <f t="shared" si="1"/>
        <v>10.72</v>
      </c>
      <c r="F19" s="93">
        <v>0.68</v>
      </c>
      <c r="G19" s="106">
        <v>0.74</v>
      </c>
      <c r="H19" s="93">
        <v>7.5</v>
      </c>
      <c r="I19" s="96">
        <v>152.8</v>
      </c>
      <c r="J19" s="93">
        <v>750</v>
      </c>
      <c r="K19" s="96">
        <v>0.88</v>
      </c>
    </row>
    <row r="20" spans="1:11" ht="17.25" customHeight="1" thickBot="1">
      <c r="A20" s="82">
        <v>19</v>
      </c>
      <c r="B20" s="88" t="s">
        <v>143</v>
      </c>
      <c r="C20" s="89" t="s">
        <v>71</v>
      </c>
      <c r="D20" s="90">
        <v>0</v>
      </c>
      <c r="E20" s="91">
        <v>0</v>
      </c>
      <c r="F20" s="89">
        <v>1</v>
      </c>
      <c r="G20" s="105">
        <v>1</v>
      </c>
      <c r="H20" s="89">
        <v>0</v>
      </c>
      <c r="I20" s="92">
        <v>0</v>
      </c>
      <c r="J20" s="89">
        <v>0</v>
      </c>
      <c r="K20" s="92">
        <v>0</v>
      </c>
    </row>
    <row r="21" spans="1:11" ht="17.25" customHeight="1" thickBot="1">
      <c r="A21" s="82">
        <v>20</v>
      </c>
      <c r="B21" s="93" t="s">
        <v>144</v>
      </c>
      <c r="C21" s="93" t="s">
        <v>145</v>
      </c>
      <c r="D21" s="94">
        <v>2.2</v>
      </c>
      <c r="E21" s="95">
        <v>4.63</v>
      </c>
      <c r="F21" s="93">
        <v>0.87</v>
      </c>
      <c r="G21" s="106">
        <v>0.83</v>
      </c>
      <c r="H21" s="93">
        <v>6.5</v>
      </c>
      <c r="I21" s="96">
        <v>30.09</v>
      </c>
      <c r="J21" s="93">
        <v>3000</v>
      </c>
      <c r="K21" s="96">
        <v>0.57</v>
      </c>
    </row>
    <row r="22" spans="1:11" ht="17.25" customHeight="1" thickBot="1">
      <c r="A22" s="82">
        <v>21</v>
      </c>
      <c r="B22" s="93" t="s">
        <v>146</v>
      </c>
      <c r="C22" s="93" t="s">
        <v>147</v>
      </c>
      <c r="D22" s="94">
        <v>1.5</v>
      </c>
      <c r="E22" s="95">
        <v>3.31</v>
      </c>
      <c r="F22" s="93">
        <v>0.85</v>
      </c>
      <c r="G22" s="106">
        <v>0.81</v>
      </c>
      <c r="H22" s="93">
        <v>6.5</v>
      </c>
      <c r="I22" s="96">
        <v>21.52</v>
      </c>
      <c r="J22" s="93">
        <v>3000</v>
      </c>
      <c r="K22" s="96">
        <v>0.62</v>
      </c>
    </row>
    <row r="23" spans="1:11" ht="17.25" customHeight="1" thickBot="1">
      <c r="A23" s="82">
        <v>22</v>
      </c>
      <c r="B23" s="93" t="s">
        <v>148</v>
      </c>
      <c r="C23" s="93" t="s">
        <v>145</v>
      </c>
      <c r="D23" s="94">
        <v>2.2</v>
      </c>
      <c r="E23" s="95">
        <v>4.63</v>
      </c>
      <c r="F23" s="93">
        <v>0.87</v>
      </c>
      <c r="G23" s="106">
        <v>0.83</v>
      </c>
      <c r="H23" s="93">
        <v>6.5</v>
      </c>
      <c r="I23" s="96">
        <v>30.09</v>
      </c>
      <c r="J23" s="93">
        <v>3000</v>
      </c>
      <c r="K23" s="96">
        <v>0.57</v>
      </c>
    </row>
    <row r="24" spans="1:11" ht="17.25" customHeight="1" thickBot="1">
      <c r="A24" s="82">
        <v>23</v>
      </c>
      <c r="B24" s="93" t="s">
        <v>149</v>
      </c>
      <c r="C24" s="93" t="s">
        <v>150</v>
      </c>
      <c r="D24" s="94">
        <v>5.5</v>
      </c>
      <c r="E24" s="95">
        <v>10.49</v>
      </c>
      <c r="F24" s="93">
        <v>0.91</v>
      </c>
      <c r="G24" s="106">
        <v>0.875</v>
      </c>
      <c r="H24" s="93">
        <v>7.5</v>
      </c>
      <c r="I24" s="96">
        <v>78.71</v>
      </c>
      <c r="J24" s="93">
        <v>3000</v>
      </c>
      <c r="K24" s="96">
        <v>0.46</v>
      </c>
    </row>
    <row r="25" spans="1:11" ht="17.25" customHeight="1" thickBot="1">
      <c r="A25" s="82">
        <v>24</v>
      </c>
      <c r="B25" s="93" t="s">
        <v>151</v>
      </c>
      <c r="C25" s="93" t="s">
        <v>152</v>
      </c>
      <c r="D25" s="94">
        <v>4</v>
      </c>
      <c r="E25" s="95">
        <v>7.89</v>
      </c>
      <c r="F25" s="93">
        <v>0.89</v>
      </c>
      <c r="G25" s="106">
        <v>0.865</v>
      </c>
      <c r="H25" s="93">
        <v>7.5</v>
      </c>
      <c r="I25" s="96">
        <v>59.21</v>
      </c>
      <c r="J25" s="93">
        <v>3000</v>
      </c>
      <c r="K25" s="96">
        <v>0.51</v>
      </c>
    </row>
    <row r="26" spans="1:11" ht="17.25" customHeight="1" thickBot="1">
      <c r="A26" s="82">
        <v>25</v>
      </c>
      <c r="B26" s="93" t="s">
        <v>153</v>
      </c>
      <c r="C26" s="93" t="s">
        <v>154</v>
      </c>
      <c r="D26" s="94">
        <v>3</v>
      </c>
      <c r="E26" s="95">
        <v>6.13</v>
      </c>
      <c r="F26" s="93">
        <v>0.88</v>
      </c>
      <c r="G26" s="106">
        <v>0.845</v>
      </c>
      <c r="H26" s="93">
        <v>6.5</v>
      </c>
      <c r="I26" s="96">
        <v>39.84</v>
      </c>
      <c r="J26" s="93">
        <v>3000</v>
      </c>
      <c r="K26" s="96">
        <v>0.54</v>
      </c>
    </row>
    <row r="27" spans="1:11" ht="17.25" customHeight="1" thickBot="1">
      <c r="A27" s="82">
        <v>26</v>
      </c>
      <c r="B27" s="93" t="s">
        <v>155</v>
      </c>
      <c r="C27" s="93" t="s">
        <v>156</v>
      </c>
      <c r="D27" s="94">
        <v>7.5</v>
      </c>
      <c r="E27" s="95">
        <v>14.8</v>
      </c>
      <c r="F27" s="93">
        <v>0.88</v>
      </c>
      <c r="G27" s="106">
        <v>0.875</v>
      </c>
      <c r="H27" s="93">
        <v>7.5</v>
      </c>
      <c r="I27" s="96">
        <v>110.99</v>
      </c>
      <c r="J27" s="93">
        <v>3000</v>
      </c>
      <c r="K27" s="96">
        <v>0.54</v>
      </c>
    </row>
    <row r="28" spans="1:11" ht="17.25" customHeight="1" thickBot="1">
      <c r="A28" s="82">
        <v>27</v>
      </c>
      <c r="B28" s="93" t="s">
        <v>157</v>
      </c>
      <c r="C28" s="93" t="s">
        <v>156</v>
      </c>
      <c r="D28" s="94">
        <v>7.5</v>
      </c>
      <c r="E28" s="95">
        <v>14.8</v>
      </c>
      <c r="F28" s="93">
        <v>0.88</v>
      </c>
      <c r="G28" s="106">
        <v>0.875</v>
      </c>
      <c r="H28" s="93">
        <v>7.5</v>
      </c>
      <c r="I28" s="96">
        <v>110.99</v>
      </c>
      <c r="J28" s="93">
        <v>3000</v>
      </c>
      <c r="K28" s="96">
        <v>0.54</v>
      </c>
    </row>
    <row r="29" spans="1:11" ht="17.25" customHeight="1" thickBot="1">
      <c r="A29" s="82">
        <v>28</v>
      </c>
      <c r="B29" s="93" t="s">
        <v>158</v>
      </c>
      <c r="C29" s="93" t="s">
        <v>156</v>
      </c>
      <c r="D29" s="94">
        <v>7.5</v>
      </c>
      <c r="E29" s="95">
        <v>14.8</v>
      </c>
      <c r="F29" s="93">
        <v>0.88</v>
      </c>
      <c r="G29" s="106">
        <v>0.875</v>
      </c>
      <c r="H29" s="93">
        <v>7.5</v>
      </c>
      <c r="I29" s="96">
        <v>110.99</v>
      </c>
      <c r="J29" s="93">
        <v>3000</v>
      </c>
      <c r="K29" s="96">
        <v>0.54</v>
      </c>
    </row>
    <row r="30" spans="1:11" ht="17.25" customHeight="1" thickBot="1">
      <c r="A30" s="82">
        <v>29</v>
      </c>
      <c r="B30" s="88" t="s">
        <v>159</v>
      </c>
      <c r="C30" s="89" t="s">
        <v>71</v>
      </c>
      <c r="D30" s="90">
        <v>0</v>
      </c>
      <c r="E30" s="91">
        <v>0</v>
      </c>
      <c r="F30" s="89">
        <v>1</v>
      </c>
      <c r="G30" s="105">
        <v>1</v>
      </c>
      <c r="H30" s="89">
        <v>0</v>
      </c>
      <c r="I30" s="92">
        <v>0</v>
      </c>
      <c r="J30" s="89">
        <v>0</v>
      </c>
      <c r="K30" s="92">
        <v>0</v>
      </c>
    </row>
    <row r="31" spans="1:11" ht="17.25" customHeight="1" thickBot="1">
      <c r="A31" s="82">
        <v>30</v>
      </c>
      <c r="B31" s="93" t="s">
        <v>160</v>
      </c>
      <c r="C31" s="93" t="s">
        <v>161</v>
      </c>
      <c r="D31" s="94">
        <v>2.2</v>
      </c>
      <c r="E31" s="95">
        <v>4.63</v>
      </c>
      <c r="F31" s="93">
        <v>0.87</v>
      </c>
      <c r="G31" s="106">
        <v>0.83</v>
      </c>
      <c r="H31" s="93">
        <v>7</v>
      </c>
      <c r="I31" s="96">
        <v>32.4</v>
      </c>
      <c r="J31" s="93">
        <v>3000</v>
      </c>
      <c r="K31" s="96">
        <v>0.57</v>
      </c>
    </row>
    <row r="32" spans="1:11" ht="17.25" customHeight="1" thickBot="1">
      <c r="A32" s="82">
        <v>31</v>
      </c>
      <c r="B32" s="93" t="s">
        <v>162</v>
      </c>
      <c r="C32" s="93" t="s">
        <v>163</v>
      </c>
      <c r="D32" s="94">
        <v>4</v>
      </c>
      <c r="E32" s="95">
        <v>7.94</v>
      </c>
      <c r="F32" s="93">
        <v>0.88</v>
      </c>
      <c r="G32" s="106">
        <v>0.87</v>
      </c>
      <c r="H32" s="93">
        <v>7.5</v>
      </c>
      <c r="I32" s="96">
        <v>59.54</v>
      </c>
      <c r="J32" s="93">
        <v>3000</v>
      </c>
      <c r="K32" s="96">
        <v>0.54</v>
      </c>
    </row>
    <row r="33" spans="1:11" ht="17.25" customHeight="1" thickBot="1">
      <c r="A33" s="82">
        <v>32</v>
      </c>
      <c r="B33" s="93" t="s">
        <v>164</v>
      </c>
      <c r="C33" s="93" t="s">
        <v>165</v>
      </c>
      <c r="D33" s="94">
        <v>5.5</v>
      </c>
      <c r="E33" s="95">
        <v>10.67</v>
      </c>
      <c r="F33" s="93">
        <v>0.89</v>
      </c>
      <c r="G33" s="106">
        <v>0.88</v>
      </c>
      <c r="H33" s="93">
        <v>7.5</v>
      </c>
      <c r="I33" s="96">
        <v>80.02</v>
      </c>
      <c r="J33" s="93">
        <v>3000</v>
      </c>
      <c r="K33" s="96">
        <v>0.51</v>
      </c>
    </row>
    <row r="34" spans="1:11" ht="17.25" customHeight="1" thickBot="1">
      <c r="A34" s="82">
        <v>33</v>
      </c>
      <c r="B34" s="93" t="s">
        <v>166</v>
      </c>
      <c r="C34" s="93" t="s">
        <v>167</v>
      </c>
      <c r="D34" s="94">
        <v>7.5</v>
      </c>
      <c r="E34" s="95">
        <v>14.8</v>
      </c>
      <c r="F34" s="93">
        <v>0.88</v>
      </c>
      <c r="G34" s="106">
        <v>0.875</v>
      </c>
      <c r="H34" s="93">
        <v>7.5</v>
      </c>
      <c r="I34" s="96">
        <v>110.99</v>
      </c>
      <c r="J34" s="93">
        <v>3000</v>
      </c>
      <c r="K34" s="96">
        <v>0.54</v>
      </c>
    </row>
    <row r="35" spans="1:11" ht="17.25" customHeight="1" thickBot="1">
      <c r="A35" s="82">
        <v>34</v>
      </c>
      <c r="B35" s="93" t="s">
        <v>168</v>
      </c>
      <c r="C35" s="93" t="s">
        <v>169</v>
      </c>
      <c r="D35" s="94">
        <v>15</v>
      </c>
      <c r="E35" s="95">
        <v>28.45</v>
      </c>
      <c r="F35" s="93">
        <v>0.89</v>
      </c>
      <c r="G35" s="106">
        <v>0.9</v>
      </c>
      <c r="H35" s="93">
        <v>7</v>
      </c>
      <c r="I35" s="96">
        <v>199.16</v>
      </c>
      <c r="J35" s="93">
        <v>3000</v>
      </c>
      <c r="K35" s="96">
        <v>0.51</v>
      </c>
    </row>
    <row r="36" spans="1:11" ht="17.25" customHeight="1" thickBot="1">
      <c r="A36" s="82">
        <v>35</v>
      </c>
      <c r="B36" s="93" t="s">
        <v>170</v>
      </c>
      <c r="C36" s="93" t="s">
        <v>171</v>
      </c>
      <c r="D36" s="94">
        <v>30</v>
      </c>
      <c r="E36" s="95">
        <v>55.35</v>
      </c>
      <c r="F36" s="93">
        <v>0.9</v>
      </c>
      <c r="G36" s="106">
        <v>0.915</v>
      </c>
      <c r="H36" s="93">
        <v>7.5</v>
      </c>
      <c r="I36" s="96">
        <v>415.12</v>
      </c>
      <c r="J36" s="93">
        <v>3000</v>
      </c>
      <c r="K36" s="96">
        <v>0.48</v>
      </c>
    </row>
    <row r="37" spans="1:11" ht="17.25" customHeight="1" thickBot="1">
      <c r="A37" s="82">
        <v>36</v>
      </c>
      <c r="B37" s="93" t="s">
        <v>172</v>
      </c>
      <c r="C37" s="93" t="s">
        <v>169</v>
      </c>
      <c r="D37" s="94">
        <v>15</v>
      </c>
      <c r="E37" s="95">
        <v>28.45</v>
      </c>
      <c r="F37" s="93">
        <v>0.89</v>
      </c>
      <c r="G37" s="106">
        <v>0.9</v>
      </c>
      <c r="H37" s="93">
        <v>7</v>
      </c>
      <c r="I37" s="96">
        <v>199.16</v>
      </c>
      <c r="J37" s="93">
        <v>3000</v>
      </c>
      <c r="K37" s="96">
        <v>0.51</v>
      </c>
    </row>
    <row r="38" spans="1:11" ht="17.25" customHeight="1" thickBot="1">
      <c r="A38" s="82">
        <v>37</v>
      </c>
      <c r="B38" s="93" t="s">
        <v>173</v>
      </c>
      <c r="C38" s="93" t="s">
        <v>174</v>
      </c>
      <c r="D38" s="94">
        <v>18.5</v>
      </c>
      <c r="E38" s="95">
        <v>34.9</v>
      </c>
      <c r="F38" s="93">
        <v>0.89</v>
      </c>
      <c r="G38" s="106">
        <v>0.905</v>
      </c>
      <c r="H38" s="93">
        <v>7</v>
      </c>
      <c r="I38" s="96">
        <v>244.28</v>
      </c>
      <c r="J38" s="93">
        <v>1500</v>
      </c>
      <c r="K38" s="96">
        <v>0.51</v>
      </c>
    </row>
    <row r="39" spans="1:11" ht="17.25" customHeight="1" thickBot="1">
      <c r="A39" s="82">
        <v>38</v>
      </c>
      <c r="B39" s="97" t="s">
        <v>175</v>
      </c>
      <c r="C39" s="89" t="s">
        <v>71</v>
      </c>
      <c r="D39" s="90">
        <v>0</v>
      </c>
      <c r="E39" s="91">
        <v>0</v>
      </c>
      <c r="F39" s="89">
        <v>1</v>
      </c>
      <c r="G39" s="105">
        <v>1</v>
      </c>
      <c r="H39" s="89">
        <v>0</v>
      </c>
      <c r="I39" s="92">
        <v>0</v>
      </c>
      <c r="J39" s="89">
        <v>0</v>
      </c>
      <c r="K39" s="92">
        <v>0</v>
      </c>
    </row>
    <row r="40" spans="1:11" ht="17.25" customHeight="1" thickBot="1">
      <c r="A40" s="82">
        <v>39</v>
      </c>
      <c r="B40" s="93" t="s">
        <v>176</v>
      </c>
      <c r="C40" s="93" t="s">
        <v>177</v>
      </c>
      <c r="D40" s="94">
        <v>1.1</v>
      </c>
      <c r="E40" s="95">
        <v>2.75</v>
      </c>
      <c r="F40" s="93">
        <v>0.81</v>
      </c>
      <c r="G40" s="106">
        <v>0.75</v>
      </c>
      <c r="H40" s="93">
        <v>5.5</v>
      </c>
      <c r="I40" s="96">
        <v>15.13</v>
      </c>
      <c r="J40" s="93">
        <v>1500</v>
      </c>
      <c r="K40" s="96">
        <v>0.72</v>
      </c>
    </row>
    <row r="41" spans="1:11" ht="17.25" customHeight="1" thickBot="1">
      <c r="A41" s="82">
        <v>40</v>
      </c>
      <c r="B41" s="97" t="s">
        <v>178</v>
      </c>
      <c r="C41" s="89" t="s">
        <v>71</v>
      </c>
      <c r="D41" s="90">
        <v>0</v>
      </c>
      <c r="E41" s="91">
        <v>0</v>
      </c>
      <c r="F41" s="89">
        <v>1</v>
      </c>
      <c r="G41" s="105">
        <v>1</v>
      </c>
      <c r="H41" s="89">
        <v>0</v>
      </c>
      <c r="I41" s="92">
        <v>0</v>
      </c>
      <c r="J41" s="89">
        <v>0</v>
      </c>
      <c r="K41" s="92">
        <v>0</v>
      </c>
    </row>
    <row r="42" spans="1:11" ht="17.25" customHeight="1" thickBot="1">
      <c r="A42" s="82">
        <v>41</v>
      </c>
      <c r="B42" s="93" t="s">
        <v>179</v>
      </c>
      <c r="C42" s="93" t="s">
        <v>180</v>
      </c>
      <c r="D42" s="94">
        <v>1.5</v>
      </c>
      <c r="E42" s="95">
        <v>3.52</v>
      </c>
      <c r="F42" s="93">
        <v>0.83</v>
      </c>
      <c r="G42" s="106">
        <v>0.78</v>
      </c>
      <c r="H42" s="93">
        <v>5.5</v>
      </c>
      <c r="I42" s="96">
        <v>19.36</v>
      </c>
      <c r="J42" s="93">
        <v>1500</v>
      </c>
      <c r="K42" s="96">
        <v>0.67</v>
      </c>
    </row>
    <row r="43" spans="1:11" ht="17.25" customHeight="1" thickBot="1">
      <c r="A43" s="82">
        <v>42</v>
      </c>
      <c r="B43" s="93" t="s">
        <v>181</v>
      </c>
      <c r="C43" s="93" t="s">
        <v>182</v>
      </c>
      <c r="D43" s="94">
        <v>7.5</v>
      </c>
      <c r="E43" s="95">
        <v>15.14</v>
      </c>
      <c r="F43" s="93">
        <v>0.86</v>
      </c>
      <c r="G43" s="106">
        <v>0.875</v>
      </c>
      <c r="H43" s="93">
        <v>7.5</v>
      </c>
      <c r="I43" s="96">
        <v>113.57</v>
      </c>
      <c r="J43" s="93">
        <v>1500</v>
      </c>
      <c r="K43" s="96">
        <v>0.59</v>
      </c>
    </row>
    <row r="44" spans="1:11" ht="17.25" customHeight="1" thickBot="1">
      <c r="A44" s="82">
        <v>43</v>
      </c>
      <c r="B44" s="97" t="s">
        <v>183</v>
      </c>
      <c r="C44" s="89" t="s">
        <v>71</v>
      </c>
      <c r="D44" s="90">
        <v>0</v>
      </c>
      <c r="E44" s="91">
        <v>0</v>
      </c>
      <c r="F44" s="89">
        <v>1</v>
      </c>
      <c r="G44" s="105">
        <v>1</v>
      </c>
      <c r="H44" s="89">
        <v>0</v>
      </c>
      <c r="I44" s="92">
        <v>0</v>
      </c>
      <c r="J44" s="89">
        <v>0</v>
      </c>
      <c r="K44" s="92">
        <v>0</v>
      </c>
    </row>
    <row r="45" spans="1:11" ht="17.25" customHeight="1" thickBot="1">
      <c r="A45" s="82">
        <v>44</v>
      </c>
      <c r="B45" s="93" t="s">
        <v>184</v>
      </c>
      <c r="C45" s="93" t="s">
        <v>185</v>
      </c>
      <c r="D45" s="94">
        <v>0.4</v>
      </c>
      <c r="E45" s="95">
        <v>0.78</v>
      </c>
      <c r="F45" s="93">
        <v>0.91</v>
      </c>
      <c r="G45" s="106">
        <v>0.86</v>
      </c>
      <c r="H45" s="93">
        <v>4.5</v>
      </c>
      <c r="I45" s="96">
        <v>3.49</v>
      </c>
      <c r="J45" s="93">
        <v>1500</v>
      </c>
      <c r="K45" s="96">
        <v>0.46</v>
      </c>
    </row>
    <row r="46" spans="1:11" ht="17.25" customHeight="1" thickBot="1">
      <c r="A46" s="82">
        <v>45</v>
      </c>
      <c r="B46" s="97" t="s">
        <v>186</v>
      </c>
      <c r="C46" s="89" t="s">
        <v>71</v>
      </c>
      <c r="D46" s="90">
        <v>0</v>
      </c>
      <c r="E46" s="91">
        <v>0</v>
      </c>
      <c r="F46" s="89">
        <v>1</v>
      </c>
      <c r="G46" s="105">
        <v>1</v>
      </c>
      <c r="H46" s="89">
        <v>0</v>
      </c>
      <c r="I46" s="92">
        <v>0</v>
      </c>
      <c r="J46" s="89">
        <v>0</v>
      </c>
      <c r="K46" s="92">
        <v>0</v>
      </c>
    </row>
    <row r="47" spans="1:11" ht="17.25" customHeight="1" thickBot="1">
      <c r="A47" s="82">
        <v>46</v>
      </c>
      <c r="B47" s="93" t="s">
        <v>187</v>
      </c>
      <c r="C47" s="93" t="s">
        <v>188</v>
      </c>
      <c r="D47" s="94">
        <v>1.1</v>
      </c>
      <c r="E47" s="95">
        <v>2.75</v>
      </c>
      <c r="F47" s="93">
        <v>0.81</v>
      </c>
      <c r="G47" s="106">
        <v>0.75</v>
      </c>
      <c r="H47" s="93">
        <v>5</v>
      </c>
      <c r="I47" s="96">
        <v>13.76</v>
      </c>
      <c r="J47" s="93">
        <v>1500</v>
      </c>
      <c r="K47" s="96">
        <v>0.72</v>
      </c>
    </row>
    <row r="48" spans="1:11" ht="17.25" customHeight="1" thickBot="1">
      <c r="A48" s="82">
        <v>47</v>
      </c>
      <c r="B48" s="93" t="s">
        <v>189</v>
      </c>
      <c r="C48" s="93" t="s">
        <v>190</v>
      </c>
      <c r="D48" s="94">
        <v>3</v>
      </c>
      <c r="E48" s="95">
        <v>6.7</v>
      </c>
      <c r="F48" s="93">
        <v>0.83</v>
      </c>
      <c r="G48" s="106">
        <v>0.82</v>
      </c>
      <c r="H48" s="93">
        <v>6</v>
      </c>
      <c r="I48" s="96">
        <v>40.18</v>
      </c>
      <c r="J48" s="93">
        <v>1500</v>
      </c>
      <c r="K48" s="96">
        <v>0.67</v>
      </c>
    </row>
    <row r="49" spans="1:11" ht="17.25" customHeight="1" thickBot="1">
      <c r="A49" s="82">
        <v>48</v>
      </c>
      <c r="B49" s="93" t="s">
        <v>191</v>
      </c>
      <c r="C49" s="93" t="s">
        <v>192</v>
      </c>
      <c r="D49" s="94">
        <v>7.5</v>
      </c>
      <c r="E49" s="95">
        <v>16.55</v>
      </c>
      <c r="F49" s="93">
        <v>0.81</v>
      </c>
      <c r="G49" s="106">
        <v>0.85</v>
      </c>
      <c r="H49" s="93">
        <v>6.5</v>
      </c>
      <c r="I49" s="96">
        <v>107.58</v>
      </c>
      <c r="J49" s="93">
        <v>1000</v>
      </c>
      <c r="K49" s="96">
        <v>0.72</v>
      </c>
    </row>
    <row r="50" spans="1:11" ht="17.25" customHeight="1" thickBot="1">
      <c r="A50" s="82">
        <v>49</v>
      </c>
      <c r="B50" s="93" t="s">
        <v>193</v>
      </c>
      <c r="C50" s="93" t="s">
        <v>192</v>
      </c>
      <c r="D50" s="94">
        <v>7.5</v>
      </c>
      <c r="E50" s="95">
        <v>16.55</v>
      </c>
      <c r="F50" s="93">
        <v>0.81</v>
      </c>
      <c r="G50" s="106">
        <v>0.85</v>
      </c>
      <c r="H50" s="93">
        <v>6.5</v>
      </c>
      <c r="I50" s="96">
        <v>107.58</v>
      </c>
      <c r="J50" s="93">
        <v>1000</v>
      </c>
      <c r="K50" s="96">
        <v>0.72</v>
      </c>
    </row>
    <row r="51" spans="1:11" ht="17.25" customHeight="1" thickBot="1">
      <c r="A51" s="82">
        <v>50</v>
      </c>
      <c r="B51" s="97" t="s">
        <v>194</v>
      </c>
      <c r="C51" s="89" t="s">
        <v>71</v>
      </c>
      <c r="D51" s="90">
        <v>0</v>
      </c>
      <c r="E51" s="91">
        <v>0</v>
      </c>
      <c r="F51" s="89">
        <v>1</v>
      </c>
      <c r="G51" s="105">
        <v>1</v>
      </c>
      <c r="H51" s="89">
        <v>0</v>
      </c>
      <c r="I51" s="92">
        <v>0</v>
      </c>
      <c r="J51" s="89">
        <v>0</v>
      </c>
      <c r="K51" s="92">
        <v>0</v>
      </c>
    </row>
    <row r="52" spans="1:11" ht="17.25" customHeight="1" thickBot="1">
      <c r="A52" s="82">
        <v>51</v>
      </c>
      <c r="B52" s="93" t="s">
        <v>195</v>
      </c>
      <c r="C52" s="93" t="s">
        <v>196</v>
      </c>
      <c r="D52" s="94">
        <v>2.2</v>
      </c>
      <c r="E52" s="95">
        <v>4.63</v>
      </c>
      <c r="F52" s="93">
        <v>0.87</v>
      </c>
      <c r="G52" s="106">
        <v>0.83</v>
      </c>
      <c r="H52" s="93">
        <v>7</v>
      </c>
      <c r="I52" s="96">
        <v>32.4</v>
      </c>
      <c r="J52" s="93">
        <v>3000</v>
      </c>
      <c r="K52" s="96">
        <v>0.57</v>
      </c>
    </row>
    <row r="53" spans="1:11" ht="17.25" customHeight="1" thickBot="1">
      <c r="A53" s="82">
        <v>52</v>
      </c>
      <c r="B53" s="93" t="s">
        <v>197</v>
      </c>
      <c r="C53" s="93" t="s">
        <v>198</v>
      </c>
      <c r="D53" s="94">
        <v>5.5</v>
      </c>
      <c r="E53" s="95">
        <v>10.67</v>
      </c>
      <c r="F53" s="93">
        <v>0.89</v>
      </c>
      <c r="G53" s="106">
        <v>0.88</v>
      </c>
      <c r="H53" s="93">
        <v>7.5</v>
      </c>
      <c r="I53" s="96">
        <v>80.02</v>
      </c>
      <c r="J53" s="93">
        <v>3000</v>
      </c>
      <c r="K53" s="96">
        <v>0.51</v>
      </c>
    </row>
    <row r="54" spans="1:11" ht="17.25" customHeight="1" thickBot="1">
      <c r="A54" s="82">
        <v>53</v>
      </c>
      <c r="B54" s="93" t="s">
        <v>199</v>
      </c>
      <c r="C54" s="93" t="s">
        <v>200</v>
      </c>
      <c r="D54" s="94">
        <v>7.5</v>
      </c>
      <c r="E54" s="95">
        <v>16.45</v>
      </c>
      <c r="F54" s="93">
        <v>0.81</v>
      </c>
      <c r="G54" s="106">
        <v>0.855</v>
      </c>
      <c r="H54" s="93">
        <v>7</v>
      </c>
      <c r="I54" s="96">
        <v>115.18</v>
      </c>
      <c r="J54" s="93">
        <v>1000</v>
      </c>
      <c r="K54" s="96">
        <v>0.72</v>
      </c>
    </row>
    <row r="55" spans="1:11" ht="17.25" customHeight="1" thickBot="1">
      <c r="A55" s="82">
        <v>54</v>
      </c>
      <c r="B55" s="93" t="s">
        <v>201</v>
      </c>
      <c r="C55" s="93" t="s">
        <v>202</v>
      </c>
      <c r="D55" s="94">
        <v>11</v>
      </c>
      <c r="E55" s="95">
        <v>25.47</v>
      </c>
      <c r="F55" s="93">
        <v>0.75</v>
      </c>
      <c r="G55" s="106">
        <v>0.875</v>
      </c>
      <c r="H55" s="93">
        <v>6</v>
      </c>
      <c r="I55" s="96">
        <v>152.8</v>
      </c>
      <c r="J55" s="93">
        <v>750</v>
      </c>
      <c r="K55" s="96">
        <v>0.88</v>
      </c>
    </row>
    <row r="56" spans="1:11" ht="17.25" customHeight="1" thickBot="1">
      <c r="A56" s="82">
        <v>55</v>
      </c>
      <c r="B56" s="97" t="s">
        <v>203</v>
      </c>
      <c r="C56" s="89" t="s">
        <v>71</v>
      </c>
      <c r="D56" s="90">
        <v>0</v>
      </c>
      <c r="E56" s="91">
        <v>0</v>
      </c>
      <c r="F56" s="89">
        <v>1</v>
      </c>
      <c r="G56" s="105">
        <v>1</v>
      </c>
      <c r="H56" s="89">
        <v>0</v>
      </c>
      <c r="I56" s="92">
        <v>0</v>
      </c>
      <c r="J56" s="89">
        <v>0</v>
      </c>
      <c r="K56" s="92">
        <v>0</v>
      </c>
    </row>
    <row r="57" spans="1:11" ht="17.25" customHeight="1" thickBot="1">
      <c r="A57" s="82">
        <v>56</v>
      </c>
      <c r="B57" s="93" t="s">
        <v>204</v>
      </c>
      <c r="C57" s="93" t="s">
        <v>205</v>
      </c>
      <c r="D57" s="94">
        <v>3</v>
      </c>
      <c r="E57" s="95">
        <v>6.95</v>
      </c>
      <c r="F57" s="93">
        <v>0.81</v>
      </c>
      <c r="G57" s="106">
        <v>0.81</v>
      </c>
      <c r="H57" s="93">
        <v>6.2</v>
      </c>
      <c r="I57" s="96">
        <v>43.07</v>
      </c>
      <c r="J57" s="93">
        <v>1500</v>
      </c>
      <c r="K57" s="96">
        <v>0.72</v>
      </c>
    </row>
    <row r="58" spans="1:11" ht="17.25" customHeight="1" thickBot="1">
      <c r="A58" s="82">
        <v>57</v>
      </c>
      <c r="B58" s="93" t="s">
        <v>206</v>
      </c>
      <c r="C58" s="93" t="s">
        <v>207</v>
      </c>
      <c r="D58" s="94">
        <v>4</v>
      </c>
      <c r="E58" s="95">
        <v>8.46</v>
      </c>
      <c r="F58" s="93">
        <v>0.84</v>
      </c>
      <c r="G58" s="106">
        <v>0.855</v>
      </c>
      <c r="H58" s="93">
        <v>6.5</v>
      </c>
      <c r="I58" s="96">
        <v>55</v>
      </c>
      <c r="J58" s="93">
        <v>1500</v>
      </c>
      <c r="K58" s="96">
        <v>0.65</v>
      </c>
    </row>
    <row r="59" spans="1:11" ht="17.25" customHeight="1" thickBot="1">
      <c r="A59" s="82">
        <v>58</v>
      </c>
      <c r="B59" s="93" t="s">
        <v>208</v>
      </c>
      <c r="C59" s="93" t="s">
        <v>205</v>
      </c>
      <c r="D59" s="94">
        <v>3</v>
      </c>
      <c r="E59" s="95">
        <v>6.95</v>
      </c>
      <c r="F59" s="93">
        <v>0.81</v>
      </c>
      <c r="G59" s="106">
        <v>0.81</v>
      </c>
      <c r="H59" s="93">
        <v>6.2</v>
      </c>
      <c r="I59" s="96">
        <v>43.07</v>
      </c>
      <c r="J59" s="93">
        <v>1500</v>
      </c>
      <c r="K59" s="96">
        <v>0.72</v>
      </c>
    </row>
    <row r="60" spans="1:11" ht="17.25" customHeight="1" thickBot="1">
      <c r="A60" s="82">
        <v>59</v>
      </c>
      <c r="B60" s="93" t="s">
        <v>209</v>
      </c>
      <c r="C60" s="93" t="s">
        <v>207</v>
      </c>
      <c r="D60" s="94">
        <v>4</v>
      </c>
      <c r="E60" s="95">
        <v>8.46</v>
      </c>
      <c r="F60" s="93">
        <v>0.84</v>
      </c>
      <c r="G60" s="106">
        <v>0.855</v>
      </c>
      <c r="H60" s="93">
        <v>6.5</v>
      </c>
      <c r="I60" s="96">
        <v>55</v>
      </c>
      <c r="J60" s="93">
        <v>1500</v>
      </c>
      <c r="K60" s="96">
        <v>0.65</v>
      </c>
    </row>
    <row r="61" spans="1:11" ht="17.25" customHeight="1" thickBot="1">
      <c r="A61" s="82">
        <v>60</v>
      </c>
      <c r="B61" s="97" t="s">
        <v>210</v>
      </c>
      <c r="C61" s="89" t="s">
        <v>71</v>
      </c>
      <c r="D61" s="90">
        <v>0</v>
      </c>
      <c r="E61" s="91">
        <v>0</v>
      </c>
      <c r="F61" s="89">
        <v>1</v>
      </c>
      <c r="G61" s="105">
        <v>1</v>
      </c>
      <c r="H61" s="89">
        <v>0</v>
      </c>
      <c r="I61" s="92">
        <v>0</v>
      </c>
      <c r="J61" s="89">
        <v>0</v>
      </c>
      <c r="K61" s="92">
        <v>0</v>
      </c>
    </row>
    <row r="62" spans="1:11" ht="17.25" customHeight="1" thickBot="1">
      <c r="A62" s="82">
        <v>61</v>
      </c>
      <c r="B62" s="93" t="s">
        <v>211</v>
      </c>
      <c r="C62" s="93" t="s">
        <v>212</v>
      </c>
      <c r="D62" s="94">
        <v>2.2</v>
      </c>
      <c r="E62" s="95">
        <v>5.65</v>
      </c>
      <c r="F62" s="93">
        <v>0.73</v>
      </c>
      <c r="G62" s="106">
        <v>0.81</v>
      </c>
      <c r="H62" s="93">
        <v>5</v>
      </c>
      <c r="I62" s="96">
        <v>28.26</v>
      </c>
      <c r="J62" s="93">
        <v>1000</v>
      </c>
      <c r="K62" s="96">
        <v>0.94</v>
      </c>
    </row>
    <row r="63" spans="1:11" ht="17.25" customHeight="1" thickBot="1">
      <c r="A63" s="82">
        <v>62</v>
      </c>
      <c r="B63" s="97" t="s">
        <v>213</v>
      </c>
      <c r="C63" s="89" t="s">
        <v>71</v>
      </c>
      <c r="D63" s="90">
        <v>0</v>
      </c>
      <c r="E63" s="91">
        <v>0</v>
      </c>
      <c r="F63" s="89">
        <v>1</v>
      </c>
      <c r="G63" s="105">
        <v>1</v>
      </c>
      <c r="H63" s="89">
        <v>0</v>
      </c>
      <c r="I63" s="92">
        <v>0</v>
      </c>
      <c r="J63" s="89">
        <v>0</v>
      </c>
      <c r="K63" s="92">
        <v>0</v>
      </c>
    </row>
    <row r="64" spans="1:11" ht="17.25" customHeight="1" thickBot="1">
      <c r="A64" s="82">
        <v>63</v>
      </c>
      <c r="B64" s="93" t="s">
        <v>214</v>
      </c>
      <c r="C64" s="93" t="s">
        <v>212</v>
      </c>
      <c r="D64" s="94">
        <v>2.2</v>
      </c>
      <c r="E64" s="95">
        <v>5.65</v>
      </c>
      <c r="F64" s="93">
        <v>0.73</v>
      </c>
      <c r="G64" s="106">
        <v>0.81</v>
      </c>
      <c r="H64" s="93">
        <v>5</v>
      </c>
      <c r="I64" s="96">
        <v>28.26</v>
      </c>
      <c r="J64" s="93">
        <v>1000</v>
      </c>
      <c r="K64" s="96">
        <v>0.94</v>
      </c>
    </row>
    <row r="65" spans="1:11" ht="17.25" customHeight="1" thickBot="1">
      <c r="A65" s="82">
        <v>64</v>
      </c>
      <c r="B65" s="97" t="s">
        <v>215</v>
      </c>
      <c r="C65" s="89" t="s">
        <v>71</v>
      </c>
      <c r="D65" s="90">
        <v>0</v>
      </c>
      <c r="E65" s="91">
        <v>0</v>
      </c>
      <c r="F65" s="89">
        <v>1</v>
      </c>
      <c r="G65" s="105">
        <v>1</v>
      </c>
      <c r="H65" s="89">
        <v>0</v>
      </c>
      <c r="I65" s="92">
        <v>0</v>
      </c>
      <c r="J65" s="89">
        <v>0</v>
      </c>
      <c r="K65" s="92">
        <v>0</v>
      </c>
    </row>
    <row r="66" spans="1:11" ht="17.25" customHeight="1" thickBot="1">
      <c r="A66" s="82">
        <v>65</v>
      </c>
      <c r="B66" s="93" t="s">
        <v>216</v>
      </c>
      <c r="C66" s="93" t="s">
        <v>217</v>
      </c>
      <c r="D66" s="94">
        <v>1.5</v>
      </c>
      <c r="E66" s="95">
        <v>4.11</v>
      </c>
      <c r="F66" s="93">
        <v>0.74</v>
      </c>
      <c r="G66" s="106">
        <v>0.75</v>
      </c>
      <c r="H66" s="93">
        <v>4.5</v>
      </c>
      <c r="I66" s="96">
        <v>18.48</v>
      </c>
      <c r="J66" s="93">
        <v>1000</v>
      </c>
      <c r="K66" s="96">
        <v>0.91</v>
      </c>
    </row>
    <row r="67" spans="1:11" ht="17.25" customHeight="1" thickBot="1">
      <c r="A67" s="82">
        <v>66</v>
      </c>
      <c r="B67" s="98" t="s">
        <v>218</v>
      </c>
      <c r="C67" s="98" t="s">
        <v>212</v>
      </c>
      <c r="D67" s="99">
        <v>2.2</v>
      </c>
      <c r="E67" s="100">
        <v>5.65</v>
      </c>
      <c r="F67" s="98">
        <v>0.73</v>
      </c>
      <c r="G67" s="107">
        <v>0.81</v>
      </c>
      <c r="H67" s="98">
        <v>5</v>
      </c>
      <c r="I67" s="101">
        <v>28.26</v>
      </c>
      <c r="J67" s="98">
        <v>1000</v>
      </c>
      <c r="K67" s="101">
        <v>0.94</v>
      </c>
    </row>
    <row r="68" spans="1:11" ht="18" thickBot="1">
      <c r="A68" s="82">
        <v>67</v>
      </c>
      <c r="B68" s="97" t="s">
        <v>215</v>
      </c>
      <c r="C68" s="89" t="s">
        <v>71</v>
      </c>
      <c r="D68" s="90">
        <v>0</v>
      </c>
      <c r="E68" s="91">
        <v>0</v>
      </c>
      <c r="F68" s="89">
        <v>1</v>
      </c>
      <c r="G68" s="105">
        <v>1</v>
      </c>
      <c r="H68" s="89">
        <v>0</v>
      </c>
      <c r="I68" s="92">
        <v>0</v>
      </c>
      <c r="J68" s="89">
        <v>0</v>
      </c>
      <c r="K68" s="92">
        <v>0</v>
      </c>
    </row>
    <row r="69" spans="1:11" ht="17.25">
      <c r="A69" s="82">
        <v>68</v>
      </c>
      <c r="B69" s="93" t="s">
        <v>257</v>
      </c>
      <c r="C69" s="93" t="s">
        <v>217</v>
      </c>
      <c r="D69" s="94">
        <f>СП!V75</f>
        <v>1.4</v>
      </c>
      <c r="E69" s="95">
        <f>D69/SQRT(3)/0.38/F69/G69</f>
        <v>2.22</v>
      </c>
      <c r="F69" s="103">
        <f>СП!V76</f>
        <v>0.96</v>
      </c>
      <c r="G69" s="106">
        <f>СП!V77</f>
        <v>1</v>
      </c>
      <c r="H69" s="93">
        <v>7.5</v>
      </c>
      <c r="I69" s="96">
        <f>E69*H69</f>
        <v>16.65</v>
      </c>
      <c r="J69" s="93">
        <v>1380</v>
      </c>
      <c r="K69" s="96">
        <f>TAN(ACOS(F69))</f>
        <v>0.29</v>
      </c>
    </row>
    <row r="74" ht="17.25">
      <c r="A74" s="102"/>
    </row>
    <row r="75" ht="17.25">
      <c r="A75" s="10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2008-02-28T14:53:51Z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